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synn\Downloads\w\New folder\"/>
    </mc:Choice>
  </mc:AlternateContent>
  <workbookProtection workbookAlgorithmName="SHA-512" workbookHashValue="rcUwKKjQl4HKb+aP89+xN9+d9PRqrqCORHH0du7Sg4XMpmJLTsA5oGMaStauT19yj8QB2IlNdsMC9yYk66kmig==" workbookSaltValue="wIMYlKwDHm5dVxtRRs2WsA==" workbookSpinCount="100000" lockStructure="1"/>
  <bookViews>
    <workbookView xWindow="0" yWindow="0" windowWidth="15360" windowHeight="6255" activeTab="2"/>
  </bookViews>
  <sheets>
    <sheet name="UAH" sheetId="16" r:id="rId1"/>
    <sheet name="USD" sheetId="17" r:id="rId2"/>
    <sheet name="EUR" sheetId="19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W3" i="17" l="1"/>
  <c r="W32" i="19"/>
  <c r="D32" i="19"/>
  <c r="V31" i="19"/>
  <c r="H23" i="19"/>
  <c r="E23" i="19"/>
  <c r="A23" i="19"/>
  <c r="E17" i="19"/>
  <c r="F17" i="19" s="1"/>
  <c r="G17" i="19" s="1"/>
  <c r="A17" i="19"/>
  <c r="A19" i="19" s="1"/>
  <c r="V16" i="19"/>
  <c r="G16" i="19"/>
  <c r="E16" i="19"/>
  <c r="A16" i="19"/>
  <c r="V15" i="19"/>
  <c r="A15" i="19"/>
  <c r="W2" i="19"/>
  <c r="W3" i="19" s="1"/>
  <c r="W32" i="17"/>
  <c r="D32" i="17"/>
  <c r="V31" i="17"/>
  <c r="H23" i="17"/>
  <c r="E23" i="17"/>
  <c r="A23" i="17"/>
  <c r="E17" i="17"/>
  <c r="F17" i="17" s="1"/>
  <c r="G17" i="17" s="1"/>
  <c r="A17" i="17"/>
  <c r="A19" i="17" s="1"/>
  <c r="V16" i="17"/>
  <c r="V17" i="17" s="1"/>
  <c r="G16" i="17"/>
  <c r="E16" i="17"/>
  <c r="A16" i="17"/>
  <c r="V15" i="17"/>
  <c r="A15" i="17"/>
  <c r="W2" i="17"/>
  <c r="L15" i="19" l="1"/>
  <c r="C19" i="19"/>
  <c r="A20" i="19"/>
  <c r="X27" i="19"/>
  <c r="V17" i="19"/>
  <c r="X31" i="19"/>
  <c r="AA31" i="19" s="1"/>
  <c r="W10" i="19"/>
  <c r="W11" i="19" s="1"/>
  <c r="X16" i="19"/>
  <c r="AA16" i="19" s="1"/>
  <c r="X29" i="19"/>
  <c r="X26" i="19"/>
  <c r="C19" i="17"/>
  <c r="A20" i="17"/>
  <c r="V19" i="17"/>
  <c r="W17" i="17"/>
  <c r="X31" i="17"/>
  <c r="AA31" i="17" s="1"/>
  <c r="L15" i="17"/>
  <c r="X16" i="17"/>
  <c r="AA16" i="17" s="1"/>
  <c r="W32" i="16"/>
  <c r="V31" i="16"/>
  <c r="V16" i="16"/>
  <c r="V17" i="16" s="1"/>
  <c r="V15" i="16"/>
  <c r="W2" i="16"/>
  <c r="D32" i="16"/>
  <c r="H23" i="16"/>
  <c r="E23" i="16"/>
  <c r="A23" i="16"/>
  <c r="E17" i="16"/>
  <c r="F17" i="16" s="1"/>
  <c r="G17" i="16" s="1"/>
  <c r="G16" i="16"/>
  <c r="E16" i="16"/>
  <c r="A16" i="16"/>
  <c r="A15" i="16"/>
  <c r="A17" i="16" s="1"/>
  <c r="A19" i="16" s="1"/>
  <c r="A20" i="16" s="1"/>
  <c r="X25" i="19" l="1"/>
  <c r="X28" i="19"/>
  <c r="X30" i="19"/>
  <c r="Z27" i="19"/>
  <c r="Y27" i="19"/>
  <c r="Y25" i="19"/>
  <c r="Z25" i="19"/>
  <c r="E19" i="19"/>
  <c r="Y26" i="19"/>
  <c r="Z26" i="19"/>
  <c r="Z28" i="19"/>
  <c r="Y28" i="19"/>
  <c r="Y29" i="19"/>
  <c r="Z29" i="19"/>
  <c r="V19" i="19"/>
  <c r="W17" i="19"/>
  <c r="C20" i="19"/>
  <c r="E20" i="19" s="1"/>
  <c r="A21" i="19"/>
  <c r="X28" i="17"/>
  <c r="Z28" i="17" s="1"/>
  <c r="X25" i="17"/>
  <c r="Y25" i="17" s="1"/>
  <c r="X26" i="17"/>
  <c r="Z26" i="17" s="1"/>
  <c r="X29" i="17"/>
  <c r="Z29" i="17" s="1"/>
  <c r="W10" i="17"/>
  <c r="W11" i="17" s="1"/>
  <c r="Z25" i="17"/>
  <c r="X27" i="17"/>
  <c r="C20" i="17"/>
  <c r="E20" i="17" s="1"/>
  <c r="A21" i="17"/>
  <c r="X30" i="17"/>
  <c r="X17" i="17"/>
  <c r="E19" i="17"/>
  <c r="V20" i="17"/>
  <c r="W19" i="17"/>
  <c r="X19" i="17" s="1"/>
  <c r="X31" i="16"/>
  <c r="AA31" i="16" s="1"/>
  <c r="W3" i="16"/>
  <c r="X16" i="16"/>
  <c r="AA16" i="16" s="1"/>
  <c r="W17" i="16"/>
  <c r="V19" i="16"/>
  <c r="C20" i="16"/>
  <c r="E20" i="16" s="1"/>
  <c r="A21" i="16"/>
  <c r="C19" i="16"/>
  <c r="Y28" i="17" l="1"/>
  <c r="AA28" i="19"/>
  <c r="AA25" i="19"/>
  <c r="Y30" i="19"/>
  <c r="Z30" i="19"/>
  <c r="AA29" i="19"/>
  <c r="AA26" i="19"/>
  <c r="AA27" i="19"/>
  <c r="X17" i="19"/>
  <c r="A22" i="19"/>
  <c r="C22" i="19" s="1"/>
  <c r="E22" i="19" s="1"/>
  <c r="C21" i="19"/>
  <c r="F19" i="19"/>
  <c r="G19" i="19"/>
  <c r="W19" i="19"/>
  <c r="X19" i="19" s="1"/>
  <c r="V20" i="19"/>
  <c r="F20" i="19"/>
  <c r="G20" i="19"/>
  <c r="AA25" i="17"/>
  <c r="Y26" i="17"/>
  <c r="AA26" i="17" s="1"/>
  <c r="Y29" i="17"/>
  <c r="AA29" i="17" s="1"/>
  <c r="AA28" i="17"/>
  <c r="F19" i="17"/>
  <c r="G19" i="17" s="1"/>
  <c r="H32" i="17"/>
  <c r="E32" i="17"/>
  <c r="F20" i="17"/>
  <c r="G20" i="17" s="1"/>
  <c r="Z19" i="17"/>
  <c r="Y19" i="17"/>
  <c r="Z27" i="17"/>
  <c r="Y27" i="17"/>
  <c r="V21" i="17"/>
  <c r="W20" i="17"/>
  <c r="X20" i="17" s="1"/>
  <c r="Z30" i="17"/>
  <c r="Y30" i="17"/>
  <c r="B10" i="17"/>
  <c r="B11" i="17" s="1"/>
  <c r="Z17" i="17"/>
  <c r="Y17" i="17"/>
  <c r="C21" i="17"/>
  <c r="E21" i="17" s="1"/>
  <c r="A22" i="17"/>
  <c r="C22" i="17" s="1"/>
  <c r="E22" i="17" s="1"/>
  <c r="L15" i="16"/>
  <c r="X30" i="16"/>
  <c r="W10" i="16"/>
  <c r="W11" i="16" s="1"/>
  <c r="X26" i="16"/>
  <c r="X27" i="16"/>
  <c r="X25" i="16"/>
  <c r="X29" i="16"/>
  <c r="X17" i="16"/>
  <c r="X28" i="16"/>
  <c r="V20" i="16"/>
  <c r="W19" i="16"/>
  <c r="X19" i="16" s="1"/>
  <c r="C21" i="16"/>
  <c r="E21" i="16" s="1"/>
  <c r="A22" i="16"/>
  <c r="C22" i="16" s="1"/>
  <c r="E22" i="16" s="1"/>
  <c r="E19" i="16"/>
  <c r="F20" i="16"/>
  <c r="G20" i="16" s="1"/>
  <c r="AA30" i="19" l="1"/>
  <c r="F22" i="19"/>
  <c r="G22" i="19" s="1"/>
  <c r="E21" i="19"/>
  <c r="C32" i="19"/>
  <c r="W20" i="19"/>
  <c r="X20" i="19" s="1"/>
  <c r="V21" i="19"/>
  <c r="Z17" i="19"/>
  <c r="Y17" i="19"/>
  <c r="B10" i="19"/>
  <c r="B11" i="19" s="1"/>
  <c r="Z19" i="19"/>
  <c r="Y19" i="19"/>
  <c r="AA30" i="17"/>
  <c r="AA27" i="17"/>
  <c r="AA19" i="17"/>
  <c r="Z20" i="17"/>
  <c r="Y20" i="17"/>
  <c r="F22" i="17"/>
  <c r="G22" i="17"/>
  <c r="W21" i="17"/>
  <c r="V22" i="17"/>
  <c r="C32" i="17"/>
  <c r="F21" i="17"/>
  <c r="G21" i="17" s="1"/>
  <c r="AA17" i="17"/>
  <c r="Y19" i="16"/>
  <c r="Z19" i="16"/>
  <c r="Z29" i="16"/>
  <c r="Y29" i="16"/>
  <c r="Z25" i="16"/>
  <c r="Y25" i="16"/>
  <c r="Y30" i="16"/>
  <c r="Z30" i="16"/>
  <c r="Y28" i="16"/>
  <c r="Z28" i="16"/>
  <c r="Z27" i="16"/>
  <c r="Y27" i="16"/>
  <c r="Z17" i="16"/>
  <c r="Y17" i="16"/>
  <c r="Y26" i="16"/>
  <c r="Z26" i="16"/>
  <c r="B10" i="16"/>
  <c r="B11" i="16" s="1"/>
  <c r="V21" i="16"/>
  <c r="W20" i="16"/>
  <c r="X20" i="16" s="1"/>
  <c r="C32" i="16"/>
  <c r="F19" i="16"/>
  <c r="G19" i="16" s="1"/>
  <c r="E32" i="16"/>
  <c r="H32" i="16"/>
  <c r="F22" i="16"/>
  <c r="G22" i="16" s="1"/>
  <c r="F21" i="16"/>
  <c r="G21" i="16" s="1"/>
  <c r="AA17" i="19" l="1"/>
  <c r="AA19" i="19"/>
  <c r="F21" i="19"/>
  <c r="G21" i="19"/>
  <c r="H32" i="19"/>
  <c r="E32" i="19"/>
  <c r="W21" i="19"/>
  <c r="V22" i="19"/>
  <c r="Z20" i="19"/>
  <c r="Y20" i="19"/>
  <c r="AA20" i="17"/>
  <c r="X21" i="17"/>
  <c r="V23" i="17"/>
  <c r="W22" i="17"/>
  <c r="X22" i="17" s="1"/>
  <c r="AA19" i="16"/>
  <c r="AA25" i="16"/>
  <c r="AA28" i="16"/>
  <c r="AA26" i="16"/>
  <c r="AA27" i="16"/>
  <c r="AA30" i="16"/>
  <c r="AA29" i="16"/>
  <c r="Y20" i="16"/>
  <c r="Z20" i="16"/>
  <c r="AA17" i="16"/>
  <c r="V22" i="16"/>
  <c r="W21" i="16"/>
  <c r="X21" i="16" s="1"/>
  <c r="V23" i="19" l="1"/>
  <c r="W22" i="19"/>
  <c r="X22" i="19" s="1"/>
  <c r="X21" i="19"/>
  <c r="AA20" i="19"/>
  <c r="Z22" i="17"/>
  <c r="Y22" i="17"/>
  <c r="AA22" i="17" s="1"/>
  <c r="Z21" i="17"/>
  <c r="Y21" i="17"/>
  <c r="W23" i="17"/>
  <c r="V24" i="17"/>
  <c r="V25" i="17" s="1"/>
  <c r="V26" i="17" s="1"/>
  <c r="V27" i="17" s="1"/>
  <c r="V28" i="17" s="1"/>
  <c r="V29" i="17" s="1"/>
  <c r="V30" i="17" s="1"/>
  <c r="AA20" i="16"/>
  <c r="Z21" i="16"/>
  <c r="Y21" i="16"/>
  <c r="AA21" i="16" s="1"/>
  <c r="W22" i="16"/>
  <c r="X22" i="16" s="1"/>
  <c r="V23" i="16"/>
  <c r="Z21" i="19" l="1"/>
  <c r="Y21" i="19"/>
  <c r="Y22" i="19"/>
  <c r="Z22" i="19"/>
  <c r="AA22" i="19" s="1"/>
  <c r="V24" i="19"/>
  <c r="V25" i="19" s="1"/>
  <c r="V26" i="19" s="1"/>
  <c r="V27" i="19" s="1"/>
  <c r="V28" i="19" s="1"/>
  <c r="V29" i="19" s="1"/>
  <c r="V30" i="19" s="1"/>
  <c r="W23" i="19"/>
  <c r="X23" i="19" s="1"/>
  <c r="W24" i="19"/>
  <c r="X24" i="19" s="1"/>
  <c r="AA21" i="17"/>
  <c r="X23" i="17"/>
  <c r="W24" i="17"/>
  <c r="X24" i="17" s="1"/>
  <c r="Y22" i="16"/>
  <c r="Z22" i="16"/>
  <c r="V24" i="16"/>
  <c r="V25" i="16" s="1"/>
  <c r="V26" i="16" s="1"/>
  <c r="V27" i="16" s="1"/>
  <c r="V28" i="16" s="1"/>
  <c r="V29" i="16" s="1"/>
  <c r="V30" i="16" s="1"/>
  <c r="W23" i="16"/>
  <c r="Z24" i="19" l="1"/>
  <c r="Y24" i="19"/>
  <c r="AA24" i="19"/>
  <c r="X32" i="19"/>
  <c r="Y23" i="19"/>
  <c r="Z23" i="19"/>
  <c r="Z32" i="19" s="1"/>
  <c r="L18" i="19" s="1"/>
  <c r="AA21" i="19"/>
  <c r="Y24" i="17"/>
  <c r="Z24" i="17"/>
  <c r="Z23" i="17"/>
  <c r="Y23" i="17"/>
  <c r="X32" i="17"/>
  <c r="AA22" i="16"/>
  <c r="W24" i="16"/>
  <c r="X24" i="16" s="1"/>
  <c r="X23" i="16"/>
  <c r="AA23" i="19" l="1"/>
  <c r="Y32" i="19"/>
  <c r="L17" i="19" s="1"/>
  <c r="AB32" i="19"/>
  <c r="L20" i="19" s="1"/>
  <c r="L16" i="19"/>
  <c r="AA23" i="17"/>
  <c r="AA24" i="17"/>
  <c r="Z32" i="17"/>
  <c r="L18" i="17" s="1"/>
  <c r="L16" i="17"/>
  <c r="Y32" i="17"/>
  <c r="L17" i="17" s="1"/>
  <c r="Z23" i="16"/>
  <c r="Y23" i="16"/>
  <c r="AA23" i="16" s="1"/>
  <c r="Y24" i="16"/>
  <c r="Z24" i="16"/>
  <c r="X32" i="16"/>
  <c r="AA32" i="19" l="1"/>
  <c r="L19" i="19"/>
  <c r="L14" i="19"/>
  <c r="AB32" i="17"/>
  <c r="L20" i="17" s="1"/>
  <c r="AA32" i="17"/>
  <c r="AA24" i="16"/>
  <c r="AB32" i="16" s="1"/>
  <c r="L20" i="16" s="1"/>
  <c r="Z32" i="16"/>
  <c r="L18" i="16" s="1"/>
  <c r="L16" i="16"/>
  <c r="Y32" i="16"/>
  <c r="L17" i="16" s="1"/>
  <c r="L19" i="17" l="1"/>
  <c r="L14" i="17"/>
  <c r="AA32" i="16"/>
  <c r="L19" i="16" l="1"/>
  <c r="L14" i="16"/>
</calcChain>
</file>

<file path=xl/comments1.xml><?xml version="1.0" encoding="utf-8"?>
<comments xmlns="http://schemas.openxmlformats.org/spreadsheetml/2006/main">
  <authors>
    <author>DOLZHYKOVA Maryna Anatoliivna</author>
  </authors>
  <commentLis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дата получения депозита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размещение депозита клиентом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окончание депозита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выплата тела депозита клиенту</t>
        </r>
      </text>
    </comment>
  </commentList>
</comments>
</file>

<file path=xl/comments2.xml><?xml version="1.0" encoding="utf-8"?>
<comments xmlns="http://schemas.openxmlformats.org/spreadsheetml/2006/main">
  <authors>
    <author>DOLZHYKOVA Maryna Anatoliivna</author>
  </authors>
  <commentLis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дата получения депозита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размещение депозита клиентом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окончание депозита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выплата тела депозита клиенту</t>
        </r>
      </text>
    </comment>
  </commentList>
</comments>
</file>

<file path=xl/comments3.xml><?xml version="1.0" encoding="utf-8"?>
<comments xmlns="http://schemas.openxmlformats.org/spreadsheetml/2006/main">
  <authors>
    <author>DOLZHYKOVA Maryna Anatoliivna</author>
  </authors>
  <commentLis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дата получения депозита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размещение депозита клиентом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окончание депозита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выплата тела депозита клиенту</t>
        </r>
      </text>
    </comment>
  </commentList>
</comments>
</file>

<file path=xl/sharedStrings.xml><?xml version="1.0" encoding="utf-8"?>
<sst xmlns="http://schemas.openxmlformats.org/spreadsheetml/2006/main" count="168" uniqueCount="53">
  <si>
    <t>Усього</t>
  </si>
  <si>
    <t>Результат розрахунку</t>
  </si>
  <si>
    <t>Депозит "Проценти наперед", 
зі змінюваною % ставкою, виплата % щомісячно</t>
  </si>
  <si>
    <t>Депозит, виплата % щомісячно</t>
  </si>
  <si>
    <t>Суму депозиту, грн</t>
  </si>
  <si>
    <t>Процентна ставка, річних:</t>
  </si>
  <si>
    <t>Процентна ставка, річних</t>
  </si>
  <si>
    <t>1-й період</t>
  </si>
  <si>
    <t>2-5 періоди</t>
  </si>
  <si>
    <t>Дата розміщення депозиту</t>
  </si>
  <si>
    <t>Термін депозиту, днів</t>
  </si>
  <si>
    <t>Дохід клієнта</t>
  </si>
  <si>
    <t>Дохід клієнта (після оподаткування)*</t>
  </si>
  <si>
    <t>Орієнтовний графік виплати % **</t>
  </si>
  <si>
    <t>Дата виплати %</t>
  </si>
  <si>
    <t>Період</t>
  </si>
  <si>
    <t>Сума нарахованих %</t>
  </si>
  <si>
    <t>Податки</t>
  </si>
  <si>
    <t>Сума нарахованих %, чиста</t>
  </si>
  <si>
    <t>Кількість днів</t>
  </si>
  <si>
    <t xml:space="preserve">* ПДФО (18%) + ВЗ (1.5%) від суми нарахованих процентів по депозиту. </t>
  </si>
  <si>
    <t>** Графік вказано орієнтовний. Фактичні дати сплати та суми нарахованих % можуть відрізнятися</t>
  </si>
  <si>
    <t>Калькулятор розрахунку доходу за депозитом</t>
  </si>
  <si>
    <t>0 – до 2 тис.</t>
  </si>
  <si>
    <t>2 тис. – до 100 тис.</t>
  </si>
  <si>
    <t>100 тис. – до 5 млн.</t>
  </si>
  <si>
    <t>5 млн.-10 млн.</t>
  </si>
  <si>
    <t>вище 10 млн.</t>
  </si>
  <si>
    <r>
      <t xml:space="preserve">Сума депозиту </t>
    </r>
    <r>
      <rPr>
        <b/>
        <i/>
        <sz val="8"/>
        <rFont val="Times New Roman"/>
        <family val="1"/>
        <charset val="204"/>
      </rPr>
      <t>(введіть суму)</t>
    </r>
  </si>
  <si>
    <t>Термін депозиту</t>
  </si>
  <si>
    <t>Військовий збір</t>
  </si>
  <si>
    <t>ПДФО</t>
  </si>
  <si>
    <t>Продукт - Депозитна картка 24/7, валюта - гривня</t>
  </si>
  <si>
    <t>Продукт - Депозитна картка 24/7, валюта - євро</t>
  </si>
  <si>
    <t>Продукт - Депозитна картка 24/7, валюта - долар США</t>
  </si>
  <si>
    <t>Процентна ставка, %</t>
  </si>
  <si>
    <t>Сума до видачі (вклад + % - податки), дол. США</t>
  </si>
  <si>
    <t>Сума доходу (дохід від депозиту включаючи податки), дол.США</t>
  </si>
  <si>
    <t>Сума податку на доходи фізичних осіб, дол.США</t>
  </si>
  <si>
    <t>Військовий збір, дол.США</t>
  </si>
  <si>
    <t>Підсумковий дохід, дол.США</t>
  </si>
  <si>
    <t>Реальна % ставка, %</t>
  </si>
  <si>
    <t>Сума до видачі (вклад + % - податки), євро</t>
  </si>
  <si>
    <t>Сума доходу (дохід від депозиту включаючи податки), євро</t>
  </si>
  <si>
    <t>Сума податку на доходи фізичних осіб, євро</t>
  </si>
  <si>
    <t>Військовий збір, євро</t>
  </si>
  <si>
    <t>Підсумковий дохід, євро</t>
  </si>
  <si>
    <t>Сума податку на доходи фізичних осіб, грн.</t>
  </si>
  <si>
    <t>Сума доходу (дохід від депозиту включаючи податки), грн.</t>
  </si>
  <si>
    <t>Сума до видачі (вклад + % - податки), грн.</t>
  </si>
  <si>
    <t>Військовий збір, грн.</t>
  </si>
  <si>
    <t>Підсумковий дохід, грн</t>
  </si>
  <si>
    <t>Реальна % ставка,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</si>
</sst>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г_р_н_._-;\-* #,##0.00\ _г_р_н_._-;_-* &quot;-&quot;??\ _г_р_н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</cellStyleXfs>
  <cellXfs count="172">
    <xf numFmtId="0" fontId="0" fillId="0" borderId="0" xfId="0"/>
    <xf numFmtId="0" fontId="4" fillId="0" borderId="9" xfId="0" applyFont="1" applyBorder="1" applyProtection="1">
      <protection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3" applyFill="1" applyBorder="1" applyAlignment="1" applyProtection="1">
      <alignment vertical="center"/>
      <protection hidden="1"/>
    </xf>
    <xf numFmtId="0" fontId="1" fillId="0" borderId="0" xfId="4" applyFill="1" applyBorder="1" applyAlignment="1" applyProtection="1">
      <alignment vertical="center"/>
      <protection hidden="1"/>
    </xf>
    <xf numFmtId="0" fontId="14" fillId="0" borderId="16" xfId="2" applyFont="1" applyFill="1" applyBorder="1" applyAlignment="1" applyProtection="1">
      <alignment vertical="center"/>
      <protection hidden="1"/>
    </xf>
    <xf numFmtId="0" fontId="15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2" applyFont="1" applyFill="1" applyBorder="1" applyAlignment="1" applyProtection="1">
      <alignment vertical="center"/>
      <protection hidden="1"/>
    </xf>
    <xf numFmtId="0" fontId="14" fillId="0" borderId="0" xfId="4" applyFont="1" applyFill="1" applyBorder="1" applyAlignment="1" applyProtection="1">
      <alignment vertical="center"/>
      <protection hidden="1"/>
    </xf>
    <xf numFmtId="0" fontId="1" fillId="0" borderId="1" xfId="3" applyNumberFormat="1" applyFill="1" applyBorder="1" applyAlignment="1" applyProtection="1">
      <alignment horizontal="center" wrapText="1"/>
      <protection hidden="1"/>
    </xf>
    <xf numFmtId="0" fontId="1" fillId="0" borderId="0" xfId="3" applyFill="1" applyBorder="1" applyProtection="1">
      <protection hidden="1"/>
    </xf>
    <xf numFmtId="0" fontId="1" fillId="0" borderId="17" xfId="3" applyFill="1" applyBorder="1" applyProtection="1">
      <protection hidden="1"/>
    </xf>
    <xf numFmtId="0" fontId="1" fillId="0" borderId="0" xfId="4" applyFill="1" applyBorder="1" applyProtection="1">
      <protection hidden="1"/>
    </xf>
    <xf numFmtId="0" fontId="14" fillId="0" borderId="18" xfId="2" applyFont="1" applyFill="1" applyBorder="1" applyProtection="1">
      <protection hidden="1"/>
    </xf>
    <xf numFmtId="0" fontId="14" fillId="0" borderId="1" xfId="2" applyNumberFormat="1" applyFont="1" applyFill="1" applyBorder="1" applyAlignment="1" applyProtection="1">
      <alignment horizontal="center" wrapText="1"/>
      <protection hidden="1"/>
    </xf>
    <xf numFmtId="165" fontId="16" fillId="0" borderId="1" xfId="2" applyNumberFormat="1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Protection="1">
      <protection hidden="1"/>
    </xf>
    <xf numFmtId="0" fontId="14" fillId="0" borderId="0" xfId="4" applyFont="1" applyFill="1" applyBorder="1" applyProtection="1"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4" fontId="16" fillId="0" borderId="1" xfId="2" applyNumberFormat="1" applyFont="1" applyFill="1" applyBorder="1" applyAlignment="1" applyProtection="1">
      <alignment horizontal="center"/>
      <protection hidden="1"/>
    </xf>
    <xf numFmtId="0" fontId="9" fillId="0" borderId="1" xfId="3" applyFont="1" applyFill="1" applyBorder="1" applyAlignment="1" applyProtection="1">
      <alignment horizontal="center"/>
      <protection hidden="1"/>
    </xf>
    <xf numFmtId="0" fontId="14" fillId="0" borderId="1" xfId="2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0" borderId="0" xfId="3" applyNumberFormat="1" applyFill="1" applyBorder="1" applyAlignment="1" applyProtection="1">
      <alignment wrapText="1"/>
      <protection hidden="1"/>
    </xf>
    <xf numFmtId="0" fontId="6" fillId="0" borderId="0" xfId="3" applyFont="1" applyFill="1" applyBorder="1" applyAlignment="1" applyProtection="1">
      <alignment horizontal="center"/>
      <protection hidden="1"/>
    </xf>
    <xf numFmtId="0" fontId="14" fillId="0" borderId="0" xfId="2" applyNumberFormat="1" applyFont="1" applyFill="1" applyBorder="1" applyAlignment="1" applyProtection="1">
      <alignment wrapText="1"/>
      <protection hidden="1"/>
    </xf>
    <xf numFmtId="0" fontId="14" fillId="0" borderId="0" xfId="2" applyFont="1" applyFill="1" applyBorder="1" applyAlignment="1" applyProtection="1">
      <alignment horizontal="center"/>
      <protection hidden="1"/>
    </xf>
    <xf numFmtId="0" fontId="10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17" xfId="3" applyFill="1" applyBorder="1" applyAlignment="1" applyProtection="1">
      <alignment vertical="center"/>
      <protection hidden="1"/>
    </xf>
    <xf numFmtId="0" fontId="11" fillId="0" borderId="0" xfId="4" applyFont="1" applyFill="1" applyBorder="1" applyAlignment="1" applyProtection="1">
      <alignment vertical="center"/>
      <protection hidden="1"/>
    </xf>
    <xf numFmtId="0" fontId="4" fillId="3" borderId="1" xfId="0" applyFont="1" applyFill="1" applyBorder="1" applyProtection="1">
      <protection hidden="1"/>
    </xf>
    <xf numFmtId="0" fontId="14" fillId="0" borderId="18" xfId="2" applyFont="1" applyFill="1" applyBorder="1" applyAlignment="1" applyProtection="1">
      <alignment vertical="center"/>
      <protection hidden="1"/>
    </xf>
    <xf numFmtId="0" fontId="10" fillId="0" borderId="1" xfId="2" applyNumberFormat="1" applyFont="1" applyFill="1" applyBorder="1" applyAlignment="1" applyProtection="1">
      <alignment vertical="center" wrapText="1"/>
      <protection hidden="1"/>
    </xf>
    <xf numFmtId="165" fontId="10" fillId="0" borderId="0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1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0" xfId="3" applyFont="1" applyFill="1" applyBorder="1" applyProtection="1">
      <protection hidden="1"/>
    </xf>
    <xf numFmtId="0" fontId="1" fillId="0" borderId="17" xfId="3" applyFont="1" applyFill="1" applyBorder="1" applyAlignment="1" applyProtection="1">
      <alignment vertical="center"/>
      <protection hidden="1"/>
    </xf>
    <xf numFmtId="0" fontId="11" fillId="0" borderId="1" xfId="2" applyNumberFormat="1" applyFont="1" applyFill="1" applyBorder="1" applyAlignment="1" applyProtection="1">
      <alignment vertical="center" wrapText="1"/>
      <protection hidden="1"/>
    </xf>
    <xf numFmtId="10" fontId="11" fillId="0" borderId="0" xfId="2" applyNumberFormat="1" applyFont="1" applyFill="1" applyBorder="1" applyAlignment="1" applyProtection="1">
      <alignment horizontal="center" vertical="center"/>
      <protection hidden="1"/>
    </xf>
    <xf numFmtId="165" fontId="11" fillId="0" borderId="0" xfId="2" applyNumberFormat="1" applyFont="1" applyFill="1" applyBorder="1" applyAlignment="1" applyProtection="1">
      <alignment horizontal="center" vertical="center"/>
      <protection hidden="1"/>
    </xf>
    <xf numFmtId="165" fontId="6" fillId="0" borderId="0" xfId="3" applyNumberFormat="1" applyFont="1" applyFill="1" applyBorder="1" applyAlignment="1" applyProtection="1">
      <alignment horizontal="center"/>
      <protection hidden="1"/>
    </xf>
    <xf numFmtId="0" fontId="1" fillId="0" borderId="0" xfId="2" applyNumberFormat="1" applyFill="1" applyBorder="1" applyAlignment="1" applyProtection="1">
      <alignment wrapText="1"/>
      <protection hidden="1"/>
    </xf>
    <xf numFmtId="165" fontId="1" fillId="0" borderId="0" xfId="2" applyNumberFormat="1" applyFill="1" applyBorder="1" applyAlignment="1" applyProtection="1">
      <alignment horizontal="center"/>
      <protection hidden="1"/>
    </xf>
    <xf numFmtId="0" fontId="1" fillId="0" borderId="0" xfId="2" applyFill="1" applyBorder="1" applyProtection="1">
      <protection hidden="1"/>
    </xf>
    <xf numFmtId="0" fontId="7" fillId="0" borderId="0" xfId="3" applyNumberFormat="1" applyFont="1" applyFill="1" applyBorder="1" applyAlignment="1" applyProtection="1">
      <alignment horizontal="center" wrapText="1"/>
      <protection hidden="1"/>
    </xf>
    <xf numFmtId="0" fontId="7" fillId="0" borderId="17" xfId="3" applyFont="1" applyFill="1" applyBorder="1" applyAlignment="1" applyProtection="1">
      <alignment wrapText="1"/>
      <protection hidden="1"/>
    </xf>
    <xf numFmtId="0" fontId="7" fillId="0" borderId="0" xfId="4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16" fillId="0" borderId="18" xfId="2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horizontal="center" wrapText="1"/>
      <protection hidden="1"/>
    </xf>
    <xf numFmtId="0" fontId="7" fillId="0" borderId="0" xfId="2" applyFont="1" applyFill="1" applyBorder="1" applyAlignment="1" applyProtection="1">
      <alignment wrapText="1"/>
      <protection hidden="1"/>
    </xf>
    <xf numFmtId="0" fontId="16" fillId="0" borderId="0" xfId="4" applyFont="1" applyFill="1" applyBorder="1" applyAlignment="1" applyProtection="1">
      <alignment wrapText="1"/>
      <protection hidden="1"/>
    </xf>
    <xf numFmtId="0" fontId="7" fillId="0" borderId="11" xfId="3" applyNumberFormat="1" applyFont="1" applyFill="1" applyBorder="1" applyAlignment="1" applyProtection="1">
      <alignment horizontal="center" wrapText="1"/>
      <protection hidden="1"/>
    </xf>
    <xf numFmtId="0" fontId="7" fillId="0" borderId="4" xfId="3" applyNumberFormat="1" applyFont="1" applyFill="1" applyBorder="1" applyAlignment="1" applyProtection="1">
      <alignment horizontal="center" wrapText="1"/>
      <protection hidden="1"/>
    </xf>
    <xf numFmtId="0" fontId="9" fillId="0" borderId="19" xfId="3" applyFont="1" applyFill="1" applyBorder="1" applyAlignment="1" applyProtection="1">
      <alignment horizontal="center" wrapText="1"/>
      <protection hidden="1"/>
    </xf>
    <xf numFmtId="0" fontId="7" fillId="0" borderId="1" xfId="3" applyFont="1" applyFill="1" applyBorder="1" applyAlignment="1" applyProtection="1">
      <alignment horizontal="center" wrapText="1"/>
      <protection hidden="1"/>
    </xf>
    <xf numFmtId="0" fontId="7" fillId="0" borderId="11" xfId="3" applyFont="1" applyFill="1" applyBorder="1" applyAlignment="1" applyProtection="1">
      <alignment horizontal="center" wrapText="1"/>
      <protection hidden="1"/>
    </xf>
    <xf numFmtId="0" fontId="7" fillId="0" borderId="1" xfId="2" applyFont="1" applyFill="1" applyBorder="1" applyAlignment="1" applyProtection="1">
      <alignment horizontal="center" wrapText="1"/>
      <protection hidden="1"/>
    </xf>
    <xf numFmtId="0" fontId="1" fillId="0" borderId="17" xfId="3" applyFill="1" applyBorder="1" applyAlignment="1" applyProtection="1">
      <alignment horizontal="center" wrapText="1"/>
      <protection hidden="1"/>
    </xf>
    <xf numFmtId="0" fontId="1" fillId="0" borderId="0" xfId="4" applyFill="1" applyBorder="1" applyAlignment="1" applyProtection="1">
      <alignment horizontal="center" wrapText="1"/>
      <protection hidden="1"/>
    </xf>
    <xf numFmtId="0" fontId="3" fillId="0" borderId="12" xfId="0" applyFont="1" applyBorder="1" applyProtection="1">
      <protection hidden="1"/>
    </xf>
    <xf numFmtId="4" fontId="3" fillId="0" borderId="13" xfId="0" applyNumberFormat="1" applyFont="1" applyBorder="1" applyAlignment="1" applyProtection="1">
      <alignment horizontal="center"/>
      <protection hidden="1"/>
    </xf>
    <xf numFmtId="0" fontId="14" fillId="0" borderId="18" xfId="2" applyFont="1" applyFill="1" applyBorder="1" applyAlignment="1" applyProtection="1">
      <alignment horizontal="center" wrapText="1"/>
      <protection hidden="1"/>
    </xf>
    <xf numFmtId="0" fontId="7" fillId="0" borderId="0" xfId="2" applyFont="1" applyFill="1" applyBorder="1" applyAlignment="1" applyProtection="1">
      <alignment horizontal="center" wrapText="1"/>
      <protection hidden="1"/>
    </xf>
    <xf numFmtId="0" fontId="14" fillId="0" borderId="0" xfId="4" applyFont="1" applyFill="1" applyBorder="1" applyAlignment="1" applyProtection="1">
      <alignment horizontal="center" wrapText="1"/>
      <protection hidden="1"/>
    </xf>
    <xf numFmtId="14" fontId="1" fillId="0" borderId="1" xfId="3" applyNumberFormat="1" applyFill="1" applyBorder="1" applyAlignment="1" applyProtection="1">
      <alignment horizontal="center" wrapText="1"/>
      <protection hidden="1"/>
    </xf>
    <xf numFmtId="14" fontId="1" fillId="0" borderId="6" xfId="3" applyNumberFormat="1" applyFill="1" applyBorder="1" applyAlignment="1" applyProtection="1">
      <alignment horizontal="center" wrapText="1"/>
      <protection hidden="1"/>
    </xf>
    <xf numFmtId="0" fontId="1" fillId="0" borderId="1" xfId="3" applyFill="1" applyBorder="1" applyAlignment="1" applyProtection="1">
      <alignment horizontal="center"/>
      <protection hidden="1"/>
    </xf>
    <xf numFmtId="0" fontId="1" fillId="0" borderId="0" xfId="3" applyFill="1" applyBorder="1" applyAlignment="1" applyProtection="1">
      <alignment horizontal="center"/>
      <protection hidden="1"/>
    </xf>
    <xf numFmtId="0" fontId="1" fillId="0" borderId="17" xfId="3" applyFill="1" applyBorder="1" applyAlignment="1" applyProtection="1">
      <alignment horizontal="center"/>
      <protection hidden="1"/>
    </xf>
    <xf numFmtId="0" fontId="1" fillId="0" borderId="0" xfId="4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0" fontId="14" fillId="0" borderId="18" xfId="2" applyFont="1" applyFill="1" applyBorder="1" applyAlignment="1" applyProtection="1">
      <alignment horizontal="center"/>
      <protection hidden="1"/>
    </xf>
    <xf numFmtId="14" fontId="1" fillId="0" borderId="1" xfId="2" applyNumberFormat="1" applyFill="1" applyBorder="1" applyAlignment="1" applyProtection="1">
      <alignment horizontal="center" wrapText="1"/>
      <protection hidden="1"/>
    </xf>
    <xf numFmtId="0" fontId="1" fillId="0" borderId="1" xfId="2" applyFill="1" applyBorder="1" applyAlignment="1" applyProtection="1">
      <alignment horizontal="center"/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 applyProtection="1">
      <alignment horizontal="center"/>
      <protection hidden="1"/>
    </xf>
    <xf numFmtId="165" fontId="1" fillId="0" borderId="1" xfId="3" applyNumberFormat="1" applyFill="1" applyBorder="1" applyAlignment="1" applyProtection="1">
      <alignment horizontal="center"/>
      <protection hidden="1"/>
    </xf>
    <xf numFmtId="165" fontId="1" fillId="0" borderId="0" xfId="3" applyNumberFormat="1" applyFill="1" applyBorder="1" applyAlignment="1" applyProtection="1">
      <alignment horizont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14" fontId="6" fillId="0" borderId="1" xfId="2" applyNumberFormat="1" applyFont="1" applyFill="1" applyBorder="1" applyAlignment="1" applyProtection="1">
      <alignment horizontal="center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165" fontId="6" fillId="0" borderId="1" xfId="2" applyNumberFormat="1" applyFont="1" applyFill="1" applyBorder="1" applyAlignment="1" applyProtection="1">
      <alignment horizontal="center"/>
      <protection hidden="1"/>
    </xf>
    <xf numFmtId="1" fontId="1" fillId="0" borderId="6" xfId="3" applyNumberFormat="1" applyFill="1" applyBorder="1" applyAlignment="1" applyProtection="1">
      <alignment horizontal="center" wrapText="1"/>
      <protection hidden="1"/>
    </xf>
    <xf numFmtId="1" fontId="6" fillId="0" borderId="19" xfId="3" applyNumberFormat="1" applyFont="1" applyFill="1" applyBorder="1" applyAlignment="1" applyProtection="1">
      <alignment horizontal="center"/>
      <protection hidden="1"/>
    </xf>
    <xf numFmtId="4" fontId="7" fillId="0" borderId="1" xfId="3" applyNumberFormat="1" applyFont="1" applyFill="1" applyBorder="1" applyAlignment="1" applyProtection="1">
      <alignment horizontal="center"/>
      <protection hidden="1"/>
    </xf>
    <xf numFmtId="4" fontId="1" fillId="0" borderId="1" xfId="2" applyNumberFormat="1" applyFill="1" applyBorder="1" applyAlignment="1" applyProtection="1">
      <alignment horizontal="center"/>
      <protection hidden="1"/>
    </xf>
    <xf numFmtId="165" fontId="1" fillId="0" borderId="1" xfId="2" applyNumberFormat="1" applyFill="1" applyBorder="1" applyAlignment="1" applyProtection="1">
      <alignment horizontal="center"/>
      <protection hidden="1"/>
    </xf>
    <xf numFmtId="1" fontId="14" fillId="0" borderId="1" xfId="2" applyNumberFormat="1" applyFont="1" applyFill="1" applyBorder="1" applyAlignment="1" applyProtection="1">
      <alignment horizontal="center" wrapText="1"/>
      <protection hidden="1"/>
    </xf>
    <xf numFmtId="1" fontId="1" fillId="0" borderId="1" xfId="2" applyNumberFormat="1" applyFill="1" applyBorder="1" applyAlignment="1" applyProtection="1">
      <alignment horizontal="center"/>
      <protection hidden="1"/>
    </xf>
    <xf numFmtId="4" fontId="1" fillId="0" borderId="0" xfId="2" applyNumberFormat="1" applyFill="1" applyBorder="1" applyAlignment="1" applyProtection="1">
      <alignment horizontal="center"/>
      <protection hidden="1"/>
    </xf>
    <xf numFmtId="1" fontId="6" fillId="0" borderId="8" xfId="3" applyNumberFormat="1" applyFont="1" applyFill="1" applyBorder="1" applyAlignment="1" applyProtection="1">
      <alignment horizontal="center"/>
      <protection hidden="1"/>
    </xf>
    <xf numFmtId="4" fontId="1" fillId="0" borderId="1" xfId="3" applyNumberFormat="1" applyFill="1" applyBorder="1" applyAlignment="1" applyProtection="1">
      <alignment horizontal="center"/>
      <protection hidden="1"/>
    </xf>
    <xf numFmtId="1" fontId="14" fillId="0" borderId="1" xfId="2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/>
      <protection hidden="1"/>
    </xf>
    <xf numFmtId="4" fontId="1" fillId="0" borderId="0" xfId="3" applyNumberFormat="1" applyFill="1" applyBorder="1" applyAlignment="1" applyProtection="1">
      <alignment horizontal="center"/>
      <protection hidden="1"/>
    </xf>
    <xf numFmtId="10" fontId="7" fillId="0" borderId="17" xfId="3" applyNumberFormat="1" applyFont="1" applyFill="1" applyBorder="1" applyProtection="1">
      <protection hidden="1"/>
    </xf>
    <xf numFmtId="0" fontId="7" fillId="0" borderId="1" xfId="3" applyNumberFormat="1" applyFont="1" applyFill="1" applyBorder="1" applyAlignment="1" applyProtection="1">
      <alignment horizontal="center" wrapText="1"/>
      <protection hidden="1"/>
    </xf>
    <xf numFmtId="1" fontId="1" fillId="0" borderId="4" xfId="3" applyNumberFormat="1" applyFill="1" applyBorder="1" applyAlignment="1" applyProtection="1">
      <alignment horizontal="center" wrapText="1"/>
      <protection hidden="1"/>
    </xf>
    <xf numFmtId="1" fontId="14" fillId="0" borderId="18" xfId="2" applyNumberFormat="1" applyFont="1" applyFill="1" applyBorder="1" applyProtection="1">
      <protection hidden="1"/>
    </xf>
    <xf numFmtId="1" fontId="6" fillId="0" borderId="1" xfId="2" applyNumberFormat="1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/>
      <protection hidden="1"/>
    </xf>
    <xf numFmtId="1" fontId="9" fillId="0" borderId="19" xfId="3" applyNumberFormat="1" applyFont="1" applyFill="1" applyBorder="1" applyAlignment="1" applyProtection="1">
      <alignment horizontal="center"/>
      <protection hidden="1"/>
    </xf>
    <xf numFmtId="4" fontId="7" fillId="0" borderId="0" xfId="3" applyNumberFormat="1" applyFont="1" applyFill="1" applyBorder="1" applyAlignment="1" applyProtection="1">
      <alignment horizontal="center"/>
      <protection hidden="1"/>
    </xf>
    <xf numFmtId="0" fontId="7" fillId="0" borderId="0" xfId="4" applyFont="1" applyFill="1" applyBorder="1" applyProtection="1">
      <protection hidden="1"/>
    </xf>
    <xf numFmtId="0" fontId="16" fillId="0" borderId="18" xfId="2" applyFont="1" applyFill="1" applyBorder="1" applyProtection="1">
      <protection hidden="1"/>
    </xf>
    <xf numFmtId="1" fontId="7" fillId="0" borderId="1" xfId="2" applyNumberFormat="1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/>
      <protection hidden="1"/>
    </xf>
    <xf numFmtId="0" fontId="16" fillId="0" borderId="0" xfId="4" applyFont="1" applyFill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1" fillId="0" borderId="0" xfId="3" applyNumberFormat="1" applyFill="1" applyBorder="1" applyAlignment="1" applyProtection="1">
      <alignment horizontal="left" wrapText="1"/>
      <protection hidden="1"/>
    </xf>
    <xf numFmtId="0" fontId="14" fillId="0" borderId="18" xfId="2" applyFont="1" applyFill="1" applyBorder="1" applyAlignment="1" applyProtection="1">
      <protection hidden="1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0" fontId="1" fillId="0" borderId="17" xfId="3" applyFill="1" applyBorder="1" applyAlignment="1" applyProtection="1">
      <alignment wrapText="1"/>
      <protection hidden="1"/>
    </xf>
    <xf numFmtId="0" fontId="1" fillId="0" borderId="0" xfId="4" applyFill="1" applyBorder="1" applyAlignment="1" applyProtection="1">
      <alignment wrapText="1"/>
      <protection hidden="1"/>
    </xf>
    <xf numFmtId="14" fontId="14" fillId="0" borderId="18" xfId="2" applyNumberFormat="1" applyFont="1" applyFill="1" applyBorder="1" applyAlignment="1" applyProtection="1">
      <alignment wrapText="1"/>
      <protection hidden="1"/>
    </xf>
    <xf numFmtId="0" fontId="14" fillId="0" borderId="0" xfId="2" applyFont="1" applyFill="1" applyBorder="1" applyAlignment="1" applyProtection="1">
      <alignment wrapText="1"/>
      <protection hidden="1"/>
    </xf>
    <xf numFmtId="0" fontId="14" fillId="0" borderId="0" xfId="4" applyFont="1" applyFill="1" applyBorder="1" applyAlignment="1" applyProtection="1">
      <alignment wrapText="1"/>
      <protection hidden="1"/>
    </xf>
    <xf numFmtId="14" fontId="14" fillId="0" borderId="18" xfId="2" applyNumberFormat="1" applyFont="1" applyFill="1" applyBorder="1" applyProtection="1">
      <protection hidden="1"/>
    </xf>
    <xf numFmtId="14" fontId="14" fillId="0" borderId="0" xfId="2" applyNumberFormat="1" applyFont="1" applyFill="1" applyBorder="1" applyProtection="1">
      <protection hidden="1"/>
    </xf>
    <xf numFmtId="0" fontId="1" fillId="0" borderId="20" xfId="3" applyFill="1" applyBorder="1" applyProtection="1">
      <protection hidden="1"/>
    </xf>
    <xf numFmtId="0" fontId="6" fillId="0" borderId="20" xfId="3" applyFont="1" applyFill="1" applyBorder="1" applyProtection="1">
      <protection hidden="1"/>
    </xf>
    <xf numFmtId="0" fontId="1" fillId="0" borderId="21" xfId="3" applyFill="1" applyBorder="1" applyProtection="1">
      <protection hidden="1"/>
    </xf>
    <xf numFmtId="0" fontId="14" fillId="0" borderId="22" xfId="2" applyFont="1" applyFill="1" applyBorder="1" applyProtection="1">
      <protection hidden="1"/>
    </xf>
    <xf numFmtId="0" fontId="14" fillId="0" borderId="20" xfId="2" applyFont="1" applyFill="1" applyBorder="1" applyProtection="1">
      <protection hidden="1"/>
    </xf>
    <xf numFmtId="0" fontId="6" fillId="0" borderId="0" xfId="4" applyFont="1" applyFill="1" applyBorder="1" applyProtection="1">
      <protection hidden="1"/>
    </xf>
    <xf numFmtId="3" fontId="4" fillId="2" borderId="1" xfId="0" applyNumberFormat="1" applyFont="1" applyFill="1" applyBorder="1" applyProtection="1">
      <protection locked="0"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" applyNumberFormat="1" applyFill="1" applyBorder="1" applyAlignment="1" applyProtection="1">
      <alignment horizontal="left" wrapText="1"/>
      <protection hidden="1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0" fontId="7" fillId="0" borderId="1" xfId="2" applyNumberFormat="1" applyFont="1" applyFill="1" applyBorder="1" applyAlignment="1" applyProtection="1">
      <alignment horizontal="center" wrapText="1"/>
      <protection hidden="1"/>
    </xf>
    <xf numFmtId="0" fontId="1" fillId="0" borderId="1" xfId="3" applyFill="1" applyBorder="1" applyAlignment="1" applyProtection="1">
      <alignment horizontal="center"/>
      <protection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2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2" applyNumberFormat="1" applyFont="1" applyFill="1" applyBorder="1" applyAlignment="1" applyProtection="1">
      <alignment horizontal="center" vertical="center" wrapText="1"/>
      <protection hidden="1"/>
    </xf>
    <xf numFmtId="164" fontId="16" fillId="0" borderId="9" xfId="2" applyNumberFormat="1" applyFont="1" applyFill="1" applyBorder="1" applyAlignment="1" applyProtection="1">
      <alignment horizontal="center" vertical="center"/>
      <protection hidden="1"/>
    </xf>
    <xf numFmtId="164" fontId="16" fillId="0" borderId="10" xfId="2" applyNumberFormat="1" applyFont="1" applyFill="1" applyBorder="1" applyAlignment="1" applyProtection="1">
      <alignment horizontal="center" vertical="center"/>
      <protection hidden="1"/>
    </xf>
    <xf numFmtId="164" fontId="16" fillId="0" borderId="11" xfId="2" applyNumberFormat="1" applyFont="1" applyFill="1" applyBorder="1" applyAlignment="1" applyProtection="1">
      <alignment horizontal="center" vertical="center"/>
      <protection hidden="1"/>
    </xf>
    <xf numFmtId="0" fontId="1" fillId="0" borderId="0" xfId="3" applyNumberFormat="1" applyFill="1" applyBorder="1" applyAlignment="1" applyProtection="1">
      <alignment horizontal="left" wrapText="1"/>
      <protection hidden="1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6" xfId="3" applyNumberFormat="1" applyFont="1" applyFill="1" applyBorder="1" applyAlignment="1" applyProtection="1">
      <alignment horizontal="center" wrapText="1"/>
      <protection hidden="1"/>
    </xf>
    <xf numFmtId="0" fontId="7" fillId="0" borderId="8" xfId="3" applyNumberFormat="1" applyFont="1" applyFill="1" applyBorder="1" applyAlignment="1" applyProtection="1">
      <alignment horizontal="center" wrapText="1"/>
      <protection hidden="1"/>
    </xf>
    <xf numFmtId="0" fontId="7" fillId="0" borderId="7" xfId="3" applyNumberFormat="1" applyFont="1" applyFill="1" applyBorder="1" applyAlignment="1" applyProtection="1">
      <alignment horizontal="center" wrapText="1"/>
      <protection hidden="1"/>
    </xf>
    <xf numFmtId="0" fontId="7" fillId="0" borderId="1" xfId="2" applyNumberFormat="1" applyFont="1" applyFill="1" applyBorder="1" applyAlignment="1" applyProtection="1">
      <alignment horizontal="center" wrapText="1"/>
      <protection hidden="1"/>
    </xf>
    <xf numFmtId="0" fontId="0" fillId="0" borderId="0" xfId="3" applyNumberFormat="1" applyFont="1" applyFill="1" applyBorder="1" applyAlignment="1" applyProtection="1">
      <alignment horizontal="left" wrapText="1"/>
      <protection hidden="1"/>
    </xf>
    <xf numFmtId="0" fontId="17" fillId="0" borderId="0" xfId="2" applyNumberFormat="1" applyFont="1" applyFill="1" applyBorder="1" applyAlignment="1" applyProtection="1">
      <alignment horizontal="left" wrapText="1"/>
      <protection hidden="1"/>
    </xf>
    <xf numFmtId="165" fontId="10" fillId="0" borderId="6" xfId="3" applyNumberFormat="1" applyFont="1" applyFill="1" applyBorder="1" applyAlignment="1" applyProtection="1">
      <alignment horizontal="center" vertical="center"/>
      <protection hidden="1"/>
    </xf>
    <xf numFmtId="165" fontId="10" fillId="0" borderId="8" xfId="3" applyNumberFormat="1" applyFont="1" applyFill="1" applyBorder="1" applyAlignment="1" applyProtection="1">
      <alignment horizontal="center" vertical="center"/>
      <protection hidden="1"/>
    </xf>
    <xf numFmtId="165" fontId="10" fillId="0" borderId="7" xfId="3" applyNumberFormat="1" applyFont="1" applyFill="1" applyBorder="1" applyAlignment="1" applyProtection="1">
      <alignment horizontal="center" vertical="center"/>
      <protection hidden="1"/>
    </xf>
    <xf numFmtId="165" fontId="10" fillId="0" borderId="1" xfId="2" applyNumberFormat="1" applyFont="1" applyFill="1" applyBorder="1" applyAlignment="1" applyProtection="1">
      <alignment horizontal="center" vertical="center"/>
      <protection hidden="1"/>
    </xf>
    <xf numFmtId="165" fontId="11" fillId="0" borderId="6" xfId="3" applyNumberFormat="1" applyFont="1" applyFill="1" applyBorder="1" applyAlignment="1" applyProtection="1">
      <alignment horizontal="center" vertical="center"/>
      <protection hidden="1"/>
    </xf>
    <xf numFmtId="165" fontId="11" fillId="0" borderId="8" xfId="3" applyNumberFormat="1" applyFont="1" applyFill="1" applyBorder="1" applyAlignment="1" applyProtection="1">
      <alignment horizontal="center" vertical="center"/>
      <protection hidden="1"/>
    </xf>
    <xf numFmtId="165" fontId="11" fillId="0" borderId="7" xfId="3" applyNumberFormat="1" applyFont="1" applyFill="1" applyBorder="1" applyAlignment="1" applyProtection="1">
      <alignment horizontal="center" vertical="center"/>
      <protection hidden="1"/>
    </xf>
    <xf numFmtId="165" fontId="11" fillId="0" borderId="1" xfId="2" applyNumberFormat="1" applyFont="1" applyFill="1" applyBorder="1" applyAlignment="1" applyProtection="1">
      <alignment horizontal="center" vertical="center"/>
      <protection hidden="1"/>
    </xf>
    <xf numFmtId="10" fontId="7" fillId="0" borderId="1" xfId="3" applyNumberFormat="1" applyFont="1" applyFill="1" applyBorder="1" applyAlignment="1" applyProtection="1">
      <alignment horizontal="center" vertical="center"/>
      <protection hidden="1"/>
    </xf>
    <xf numFmtId="14" fontId="7" fillId="0" borderId="1" xfId="3" applyNumberFormat="1" applyFont="1" applyFill="1" applyBorder="1" applyAlignment="1" applyProtection="1">
      <alignment horizontal="center"/>
      <protection hidden="1"/>
    </xf>
    <xf numFmtId="0" fontId="1" fillId="0" borderId="1" xfId="3" applyFill="1" applyBorder="1" applyAlignment="1" applyProtection="1">
      <alignment horizontal="center"/>
      <protection hidden="1"/>
    </xf>
  </cellXfs>
  <cellStyles count="5">
    <cellStyle name="40% - Accent2" xfId="2" builtinId="35"/>
    <cellStyle name="40% - Accent6" xfId="3" builtinId="51"/>
    <cellStyle name="Normal" xfId="0" builtinId="0"/>
    <cellStyle name="Percent" xfId="1" builtinId="5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otsI/AppData/Local/Microsoft/Windows/INetCache/Content.Outlook/K9WKCVJ1/&#1050;&#1072;&#1083;&#1100;&#1082;&#1091;&#1083;&#1103;&#1090;&#1086;&#1088;_xir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opLeftCell="I1" zoomScale="93" zoomScaleNormal="93" workbookViewId="0">
      <selection activeCell="K7" sqref="K7"/>
    </sheetView>
  </sheetViews>
  <sheetFormatPr defaultRowHeight="15" x14ac:dyDescent="0.25"/>
  <cols>
    <col min="1" max="1" width="39.5703125" style="12" hidden="1" customWidth="1"/>
    <col min="2" max="2" width="18.42578125" style="12" hidden="1" customWidth="1"/>
    <col min="3" max="3" width="5.7109375" style="133" hidden="1" customWidth="1"/>
    <col min="4" max="4" width="16.7109375" style="12" hidden="1" customWidth="1"/>
    <col min="5" max="6" width="16.28515625" style="12" hidden="1" customWidth="1"/>
    <col min="7" max="7" width="20.5703125" style="12" hidden="1" customWidth="1"/>
    <col min="8" max="8" width="9.140625" style="12" hidden="1" customWidth="1"/>
    <col min="9" max="9" width="9.140625" style="12" customWidth="1"/>
    <col min="10" max="10" width="9.140625" style="12"/>
    <col min="11" max="11" width="76.85546875" style="12" bestFit="1" customWidth="1"/>
    <col min="12" max="12" width="16.7109375" style="12" customWidth="1"/>
    <col min="13" max="14" width="9.140625" style="12"/>
    <col min="15" max="20" width="9.140625" style="12" hidden="1" customWidth="1"/>
    <col min="21" max="21" width="10.85546875" style="17" hidden="1" customWidth="1"/>
    <col min="22" max="22" width="39.42578125" style="17" hidden="1" customWidth="1"/>
    <col min="23" max="23" width="17.42578125" style="17" hidden="1" customWidth="1"/>
    <col min="24" max="24" width="16.85546875" style="17" hidden="1" customWidth="1"/>
    <col min="25" max="26" width="22.140625" style="17" hidden="1" customWidth="1"/>
    <col min="27" max="27" width="18.7109375" style="17" hidden="1" customWidth="1"/>
    <col min="28" max="28" width="10.5703125" style="17" hidden="1" customWidth="1"/>
    <col min="29" max="30" width="9.140625" style="17" hidden="1" customWidth="1"/>
    <col min="31" max="31" width="15.5703125" style="17" hidden="1" customWidth="1"/>
    <col min="32" max="33" width="9.140625" style="17" hidden="1" customWidth="1"/>
    <col min="34" max="34" width="9.140625" style="17" customWidth="1"/>
    <col min="35" max="42" width="9.140625" style="12" customWidth="1"/>
    <col min="43" max="16384" width="9.140625" style="12"/>
  </cols>
  <sheetData>
    <row r="1" spans="1:34" s="4" customFormat="1" ht="18.75" x14ac:dyDescent="0.2">
      <c r="A1" s="142" t="s">
        <v>2</v>
      </c>
      <c r="B1" s="142"/>
      <c r="C1" s="142"/>
      <c r="D1" s="142"/>
      <c r="E1" s="142"/>
      <c r="F1" s="2"/>
      <c r="G1" s="2"/>
      <c r="H1" s="3"/>
      <c r="U1" s="5"/>
      <c r="V1" s="143" t="s">
        <v>3</v>
      </c>
      <c r="W1" s="143"/>
      <c r="X1" s="143"/>
      <c r="Y1" s="6"/>
      <c r="Z1" s="6"/>
      <c r="AA1" s="6"/>
      <c r="AB1" s="7"/>
      <c r="AC1" s="8"/>
      <c r="AD1" s="8"/>
      <c r="AE1" s="8"/>
      <c r="AF1" s="8"/>
      <c r="AG1" s="8"/>
      <c r="AH1" s="8"/>
    </row>
    <row r="2" spans="1:34" ht="18.75" x14ac:dyDescent="0.3">
      <c r="A2" s="9" t="s">
        <v>4</v>
      </c>
      <c r="B2" s="144">
        <v>150000</v>
      </c>
      <c r="C2" s="144"/>
      <c r="D2" s="10"/>
      <c r="E2" s="10"/>
      <c r="F2" s="10"/>
      <c r="G2" s="10"/>
      <c r="H2" s="11"/>
      <c r="K2" s="154" t="s">
        <v>22</v>
      </c>
      <c r="L2" s="154"/>
      <c r="U2" s="13"/>
      <c r="V2" s="14" t="s">
        <v>4</v>
      </c>
      <c r="W2" s="15">
        <f>K7</f>
        <v>100000</v>
      </c>
      <c r="X2" s="16"/>
      <c r="Y2" s="16"/>
      <c r="Z2" s="16"/>
      <c r="AA2" s="16"/>
      <c r="AB2" s="16"/>
    </row>
    <row r="3" spans="1:34" ht="18.75" x14ac:dyDescent="0.3">
      <c r="A3" s="145" t="s">
        <v>5</v>
      </c>
      <c r="B3" s="145"/>
      <c r="C3" s="145"/>
      <c r="D3" s="10"/>
      <c r="E3" s="10"/>
      <c r="F3" s="10"/>
      <c r="G3" s="10"/>
      <c r="H3" s="11"/>
      <c r="K3" s="154" t="s">
        <v>32</v>
      </c>
      <c r="L3" s="154"/>
      <c r="U3" s="13"/>
      <c r="V3" s="146" t="s">
        <v>6</v>
      </c>
      <c r="W3" s="149">
        <f>IF(W2&gt;2000,IF(W2&gt;100000,IF(W2&gt;5000000,IF(W2&gt;10000000,AF7%,AF6%),AF5%),AF4%),0%)</f>
        <v>2.5000000000000001E-2</v>
      </c>
      <c r="X3" s="16"/>
      <c r="Y3" s="16"/>
      <c r="Z3" s="16"/>
      <c r="AA3" s="16"/>
      <c r="AB3" s="16"/>
      <c r="AE3" s="8" t="s">
        <v>23</v>
      </c>
      <c r="AF3" s="17">
        <v>0</v>
      </c>
    </row>
    <row r="4" spans="1:34" ht="18.75" x14ac:dyDescent="0.3">
      <c r="A4" s="18" t="s">
        <v>7</v>
      </c>
      <c r="B4" s="169">
        <v>0.36599999999999999</v>
      </c>
      <c r="C4" s="169"/>
      <c r="D4" s="10"/>
      <c r="E4" s="10"/>
      <c r="F4" s="10"/>
      <c r="G4" s="10"/>
      <c r="H4" s="11"/>
      <c r="K4" s="19"/>
      <c r="L4" s="20"/>
      <c r="U4" s="13"/>
      <c r="V4" s="147"/>
      <c r="W4" s="150"/>
      <c r="X4" s="16"/>
      <c r="Y4" s="16"/>
      <c r="Z4" s="16"/>
      <c r="AA4" s="16"/>
      <c r="AB4" s="16"/>
      <c r="AE4" s="8" t="s">
        <v>24</v>
      </c>
      <c r="AF4" s="17">
        <v>2.5</v>
      </c>
    </row>
    <row r="5" spans="1:34" ht="18.75" x14ac:dyDescent="0.3">
      <c r="A5" s="18" t="s">
        <v>8</v>
      </c>
      <c r="B5" s="169">
        <v>3.5999999999999999E-3</v>
      </c>
      <c r="C5" s="169"/>
      <c r="D5" s="10"/>
      <c r="E5" s="10"/>
      <c r="F5" s="10"/>
      <c r="G5" s="10"/>
      <c r="H5" s="11"/>
      <c r="K5" s="21"/>
      <c r="L5" s="22"/>
      <c r="U5" s="13"/>
      <c r="V5" s="148"/>
      <c r="W5" s="151"/>
      <c r="X5" s="16"/>
      <c r="Y5" s="16"/>
      <c r="Z5" s="16"/>
      <c r="AA5" s="16"/>
      <c r="AB5" s="16"/>
      <c r="AE5" s="8" t="s">
        <v>25</v>
      </c>
      <c r="AF5" s="17">
        <v>3</v>
      </c>
    </row>
    <row r="6" spans="1:34" ht="18.75" x14ac:dyDescent="0.3">
      <c r="A6" s="9" t="s">
        <v>9</v>
      </c>
      <c r="B6" s="170">
        <v>43654</v>
      </c>
      <c r="C6" s="170"/>
      <c r="D6" s="10"/>
      <c r="E6" s="10"/>
      <c r="F6" s="10"/>
      <c r="G6" s="10"/>
      <c r="H6" s="11"/>
      <c r="K6" s="1" t="s">
        <v>28</v>
      </c>
      <c r="L6" s="22"/>
      <c r="U6" s="13"/>
      <c r="V6" s="14" t="s">
        <v>9</v>
      </c>
      <c r="W6" s="23">
        <v>43831</v>
      </c>
      <c r="X6" s="16"/>
      <c r="Y6" s="16"/>
      <c r="Z6" s="16"/>
      <c r="AA6" s="16"/>
      <c r="AB6" s="16"/>
      <c r="AE6" s="8" t="s">
        <v>26</v>
      </c>
      <c r="AF6" s="17">
        <v>5</v>
      </c>
    </row>
    <row r="7" spans="1:34" ht="18.75" x14ac:dyDescent="0.3">
      <c r="A7" s="9" t="s">
        <v>10</v>
      </c>
      <c r="B7" s="9"/>
      <c r="C7" s="24">
        <v>210</v>
      </c>
      <c r="D7" s="10"/>
      <c r="E7" s="10"/>
      <c r="F7" s="10"/>
      <c r="G7" s="10"/>
      <c r="H7" s="11"/>
      <c r="K7" s="134">
        <v>100000</v>
      </c>
      <c r="L7" s="22"/>
      <c r="U7" s="13"/>
      <c r="V7" s="14" t="s">
        <v>10</v>
      </c>
      <c r="W7" s="25">
        <v>210</v>
      </c>
      <c r="X7" s="16"/>
      <c r="Y7" s="16"/>
      <c r="Z7" s="16"/>
      <c r="AA7" s="16"/>
      <c r="AB7" s="16"/>
      <c r="AE7" s="4" t="s">
        <v>27</v>
      </c>
      <c r="AF7" s="12">
        <v>6</v>
      </c>
    </row>
    <row r="8" spans="1:34" ht="18.75" x14ac:dyDescent="0.3">
      <c r="A8" s="9" t="s">
        <v>10</v>
      </c>
      <c r="B8" s="171">
        <v>150</v>
      </c>
      <c r="C8" s="171"/>
      <c r="D8" s="10"/>
      <c r="E8" s="10"/>
      <c r="F8" s="10"/>
      <c r="G8" s="10"/>
      <c r="H8" s="11"/>
      <c r="K8" s="26"/>
      <c r="L8" s="22"/>
      <c r="U8" s="13"/>
      <c r="V8" s="14" t="s">
        <v>10</v>
      </c>
      <c r="W8" s="25">
        <v>12</v>
      </c>
      <c r="X8" s="16"/>
      <c r="Y8" s="16"/>
      <c r="Z8" s="16"/>
      <c r="AA8" s="16"/>
      <c r="AB8" s="16"/>
    </row>
    <row r="9" spans="1:34" ht="18.75" x14ac:dyDescent="0.3">
      <c r="A9" s="27"/>
      <c r="B9" s="27"/>
      <c r="C9" s="28"/>
      <c r="D9" s="10"/>
      <c r="E9" s="10"/>
      <c r="F9" s="10"/>
      <c r="G9" s="10"/>
      <c r="H9" s="11"/>
      <c r="K9" s="1" t="s">
        <v>29</v>
      </c>
      <c r="L9" s="22"/>
      <c r="U9" s="13"/>
      <c r="V9" s="29"/>
      <c r="W9" s="30"/>
      <c r="X9" s="16"/>
      <c r="Y9" s="16"/>
      <c r="Z9" s="16"/>
      <c r="AA9" s="16"/>
      <c r="AB9" s="16"/>
    </row>
    <row r="10" spans="1:34" s="33" customFormat="1" ht="18.75" x14ac:dyDescent="0.3">
      <c r="A10" s="31" t="s">
        <v>11</v>
      </c>
      <c r="B10" s="161">
        <f>(B2*B4/365*(C17-1))+(B2*B5/365*((C19+C20+C21+C22+C23+C24)-6))</f>
        <v>4530.5753424657523</v>
      </c>
      <c r="C10" s="162"/>
      <c r="D10" s="163"/>
      <c r="E10" s="10"/>
      <c r="F10" s="10"/>
      <c r="G10" s="10"/>
      <c r="H10" s="32"/>
      <c r="K10" s="34">
        <v>12</v>
      </c>
      <c r="L10" s="22"/>
      <c r="U10" s="35"/>
      <c r="V10" s="36" t="s">
        <v>11</v>
      </c>
      <c r="W10" s="164">
        <f>W2*W3/366*(W7-2)</f>
        <v>1420.7650273224044</v>
      </c>
      <c r="X10" s="164"/>
      <c r="Y10" s="37"/>
      <c r="Z10" s="37"/>
      <c r="AA10" s="37"/>
      <c r="AB10" s="38"/>
      <c r="AC10" s="8"/>
      <c r="AD10" s="8"/>
      <c r="AE10" s="8"/>
      <c r="AF10" s="8"/>
      <c r="AG10" s="8"/>
      <c r="AH10" s="8"/>
    </row>
    <row r="11" spans="1:34" s="33" customFormat="1" ht="18.75" x14ac:dyDescent="0.3">
      <c r="A11" s="39" t="s">
        <v>12</v>
      </c>
      <c r="B11" s="165">
        <f>B10-(B10*0.195)</f>
        <v>3647.1131506849306</v>
      </c>
      <c r="C11" s="166"/>
      <c r="D11" s="167"/>
      <c r="E11" s="40"/>
      <c r="F11" s="40"/>
      <c r="G11" s="40"/>
      <c r="H11" s="41"/>
      <c r="K11" s="26"/>
      <c r="L11" s="22"/>
      <c r="U11" s="35"/>
      <c r="V11" s="42" t="s">
        <v>12</v>
      </c>
      <c r="W11" s="168">
        <f>W10-(W10*0.195)</f>
        <v>1143.7158469945355</v>
      </c>
      <c r="X11" s="168"/>
      <c r="Y11" s="43"/>
      <c r="Z11" s="43"/>
      <c r="AA11" s="44"/>
      <c r="AB11" s="38"/>
      <c r="AC11" s="8"/>
      <c r="AD11" s="8"/>
      <c r="AE11" s="8"/>
      <c r="AF11" s="8"/>
      <c r="AG11" s="8"/>
      <c r="AH11" s="8"/>
    </row>
    <row r="12" spans="1:34" ht="18.75" x14ac:dyDescent="0.3">
      <c r="A12" s="27"/>
      <c r="B12" s="27"/>
      <c r="C12" s="45"/>
      <c r="D12" s="10"/>
      <c r="E12" s="10"/>
      <c r="F12" s="10"/>
      <c r="G12" s="10"/>
      <c r="H12" s="11"/>
      <c r="K12" s="26"/>
      <c r="L12" s="22"/>
      <c r="U12" s="13"/>
      <c r="V12" s="46"/>
      <c r="W12" s="47"/>
      <c r="X12" s="48"/>
      <c r="Y12" s="48"/>
      <c r="Z12" s="48"/>
      <c r="AA12" s="48"/>
      <c r="AB12" s="48"/>
    </row>
    <row r="13" spans="1:34" s="51" customFormat="1" ht="18.75" x14ac:dyDescent="0.3">
      <c r="A13" s="155" t="s">
        <v>13</v>
      </c>
      <c r="B13" s="156"/>
      <c r="C13" s="156"/>
      <c r="D13" s="156"/>
      <c r="E13" s="157"/>
      <c r="F13" s="49"/>
      <c r="G13" s="49"/>
      <c r="H13" s="50"/>
      <c r="K13" s="52" t="s">
        <v>1</v>
      </c>
      <c r="L13" s="53"/>
      <c r="U13" s="54"/>
      <c r="V13" s="158" t="s">
        <v>13</v>
      </c>
      <c r="W13" s="158"/>
      <c r="X13" s="158"/>
      <c r="Y13" s="55"/>
      <c r="Z13" s="55"/>
      <c r="AA13" s="55"/>
      <c r="AB13" s="56"/>
      <c r="AC13" s="57"/>
      <c r="AD13" s="57"/>
      <c r="AE13" s="57"/>
      <c r="AF13" s="57"/>
      <c r="AG13" s="57"/>
      <c r="AH13" s="57"/>
    </row>
    <row r="14" spans="1:34" s="65" customFormat="1" ht="21" customHeight="1" x14ac:dyDescent="0.3">
      <c r="A14" s="58" t="s">
        <v>14</v>
      </c>
      <c r="B14" s="59" t="s">
        <v>15</v>
      </c>
      <c r="C14" s="60"/>
      <c r="D14" s="61" t="s">
        <v>6</v>
      </c>
      <c r="E14" s="62" t="s">
        <v>16</v>
      </c>
      <c r="F14" s="63" t="s">
        <v>17</v>
      </c>
      <c r="G14" s="63" t="s">
        <v>18</v>
      </c>
      <c r="H14" s="64"/>
      <c r="K14" s="66" t="s">
        <v>49</v>
      </c>
      <c r="L14" s="67">
        <f>K7+AA32</f>
        <v>102184.4262295082</v>
      </c>
      <c r="U14" s="68"/>
      <c r="V14" s="55" t="s">
        <v>14</v>
      </c>
      <c r="W14" s="63" t="s">
        <v>19</v>
      </c>
      <c r="X14" s="63" t="s">
        <v>16</v>
      </c>
      <c r="Y14" s="63" t="s">
        <v>31</v>
      </c>
      <c r="Z14" s="63" t="s">
        <v>30</v>
      </c>
      <c r="AA14" s="63" t="s">
        <v>18</v>
      </c>
      <c r="AB14" s="69"/>
      <c r="AC14" s="70"/>
      <c r="AD14" s="70"/>
      <c r="AE14" s="70"/>
      <c r="AF14" s="70"/>
      <c r="AG14" s="70"/>
      <c r="AH14" s="70"/>
    </row>
    <row r="15" spans="1:34" s="76" customFormat="1" ht="18.75" x14ac:dyDescent="0.3">
      <c r="A15" s="71">
        <f>B6</f>
        <v>43654</v>
      </c>
      <c r="B15" s="72"/>
      <c r="C15" s="28"/>
      <c r="D15" s="73"/>
      <c r="E15" s="73"/>
      <c r="F15" s="74"/>
      <c r="G15" s="74"/>
      <c r="H15" s="75"/>
      <c r="K15" s="77" t="s">
        <v>35</v>
      </c>
      <c r="L15" s="78">
        <f>W3</f>
        <v>2.5000000000000001E-2</v>
      </c>
      <c r="U15" s="79"/>
      <c r="V15" s="80">
        <f>W6</f>
        <v>43831</v>
      </c>
      <c r="W15" s="81"/>
      <c r="X15" s="81"/>
      <c r="Y15" s="81"/>
      <c r="Z15" s="81"/>
      <c r="AA15" s="81"/>
      <c r="AB15" s="82"/>
      <c r="AC15" s="83"/>
      <c r="AD15" s="83"/>
      <c r="AE15" s="83"/>
      <c r="AF15" s="83"/>
      <c r="AG15" s="83"/>
      <c r="AH15" s="83"/>
    </row>
    <row r="16" spans="1:34" s="76" customFormat="1" ht="18.75" x14ac:dyDescent="0.3">
      <c r="A16" s="71">
        <f>B6</f>
        <v>43654</v>
      </c>
      <c r="B16" s="72"/>
      <c r="C16" s="28"/>
      <c r="D16" s="73"/>
      <c r="E16" s="84">
        <f>-B2</f>
        <v>-150000</v>
      </c>
      <c r="F16" s="85"/>
      <c r="G16" s="84">
        <f>-B2</f>
        <v>-150000</v>
      </c>
      <c r="H16" s="75"/>
      <c r="K16" s="77" t="s">
        <v>48</v>
      </c>
      <c r="L16" s="86">
        <f>X32</f>
        <v>2663.9344262295085</v>
      </c>
      <c r="U16" s="79"/>
      <c r="V16" s="87">
        <f>W6</f>
        <v>43831</v>
      </c>
      <c r="W16" s="88"/>
      <c r="X16" s="89">
        <f>-W2</f>
        <v>-100000</v>
      </c>
      <c r="Y16" s="89"/>
      <c r="Z16" s="89"/>
      <c r="AA16" s="89">
        <f>X16-Y16</f>
        <v>-100000</v>
      </c>
      <c r="AB16" s="82"/>
      <c r="AC16" s="83"/>
      <c r="AD16" s="83"/>
      <c r="AE16" s="83"/>
      <c r="AF16" s="83"/>
      <c r="AG16" s="83"/>
      <c r="AH16" s="83"/>
    </row>
    <row r="17" spans="1:34" ht="18.75" x14ac:dyDescent="0.3">
      <c r="A17" s="71">
        <f>A15+30</f>
        <v>43684</v>
      </c>
      <c r="B17" s="90">
        <v>1</v>
      </c>
      <c r="C17" s="91">
        <v>30</v>
      </c>
      <c r="D17" s="92">
        <v>36.6</v>
      </c>
      <c r="E17" s="92">
        <f>(B2*B4/366*(C17-1))</f>
        <v>4350</v>
      </c>
      <c r="F17" s="93">
        <f>E17*19.5%</f>
        <v>848.25</v>
      </c>
      <c r="G17" s="94">
        <f t="shared" ref="G17:G22" si="0">E17-F17</f>
        <v>3501.75</v>
      </c>
      <c r="H17" s="11"/>
      <c r="K17" s="77" t="s">
        <v>47</v>
      </c>
      <c r="L17" s="86">
        <f>Y32</f>
        <v>479.50819672131144</v>
      </c>
      <c r="U17" s="95">
        <v>1</v>
      </c>
      <c r="V17" s="80">
        <f>V16+30</f>
        <v>43861</v>
      </c>
      <c r="W17" s="96">
        <f>V17-W6</f>
        <v>30</v>
      </c>
      <c r="X17" s="93">
        <f>($W$2*$W$3/366*(W17))</f>
        <v>204.91803278688525</v>
      </c>
      <c r="Y17" s="93">
        <f>X17*18%</f>
        <v>36.885245901639344</v>
      </c>
      <c r="Z17" s="93">
        <f>X17*1.5%</f>
        <v>3.0737704918032787</v>
      </c>
      <c r="AA17" s="94">
        <f>X17-Y17-Z17</f>
        <v>164.95901639344262</v>
      </c>
      <c r="AB17" s="97"/>
    </row>
    <row r="18" spans="1:34" ht="18.75" x14ac:dyDescent="0.3">
      <c r="A18" s="71"/>
      <c r="B18" s="90"/>
      <c r="C18" s="91"/>
      <c r="D18" s="92"/>
      <c r="E18" s="92"/>
      <c r="F18" s="93"/>
      <c r="G18" s="94"/>
      <c r="H18" s="11"/>
      <c r="K18" s="77" t="s">
        <v>50</v>
      </c>
      <c r="L18" s="86">
        <f>Z32</f>
        <v>39.959016393442631</v>
      </c>
      <c r="U18" s="95"/>
      <c r="V18" s="80"/>
      <c r="W18" s="96"/>
      <c r="X18" s="93"/>
      <c r="Y18" s="93"/>
      <c r="Z18" s="93"/>
      <c r="AA18" s="94"/>
      <c r="AB18" s="97"/>
    </row>
    <row r="19" spans="1:34" ht="18.75" x14ac:dyDescent="0.3">
      <c r="A19" s="71">
        <f>A17+30</f>
        <v>43714</v>
      </c>
      <c r="B19" s="90">
        <v>2</v>
      </c>
      <c r="C19" s="98">
        <f>A19-A17</f>
        <v>30</v>
      </c>
      <c r="D19" s="99">
        <v>0.36</v>
      </c>
      <c r="E19" s="99">
        <f>(B2*B5/366*(C19-1))</f>
        <v>42.786885245901644</v>
      </c>
      <c r="F19" s="93">
        <f t="shared" ref="F19:F22" si="1">E19*19.5%</f>
        <v>8.3434426229508212</v>
      </c>
      <c r="G19" s="94">
        <f t="shared" si="0"/>
        <v>34.443442622950826</v>
      </c>
      <c r="H19" s="11"/>
      <c r="K19" s="77" t="s">
        <v>51</v>
      </c>
      <c r="L19" s="86">
        <f>AA32</f>
        <v>2184.4262295081971</v>
      </c>
      <c r="U19" s="100">
        <v>2</v>
      </c>
      <c r="V19" s="80">
        <f>V17+30</f>
        <v>43891</v>
      </c>
      <c r="W19" s="96">
        <f>V19-V17</f>
        <v>30</v>
      </c>
      <c r="X19" s="93">
        <f t="shared" ref="X19:X30" si="2">($W$2*$W$3/366*(W19))</f>
        <v>204.91803278688525</v>
      </c>
      <c r="Y19" s="93">
        <f>X19*18%</f>
        <v>36.885245901639344</v>
      </c>
      <c r="Z19" s="93">
        <f>X19*1.5%</f>
        <v>3.0737704918032787</v>
      </c>
      <c r="AA19" s="94">
        <f>X19-Y19-Z19</f>
        <v>164.95901639344262</v>
      </c>
      <c r="AB19" s="97"/>
    </row>
    <row r="20" spans="1:34" ht="18.75" x14ac:dyDescent="0.3">
      <c r="A20" s="71">
        <f t="shared" ref="A20:A21" si="3">A19+30</f>
        <v>43744</v>
      </c>
      <c r="B20" s="90">
        <v>3</v>
      </c>
      <c r="C20" s="98">
        <f t="shared" ref="C20:C22" si="4">A20-A19</f>
        <v>30</v>
      </c>
      <c r="D20" s="99">
        <v>0.36</v>
      </c>
      <c r="E20" s="99">
        <f>(B2*B5/366*(C20-1))</f>
        <v>42.786885245901644</v>
      </c>
      <c r="F20" s="93">
        <f t="shared" si="1"/>
        <v>8.3434426229508212</v>
      </c>
      <c r="G20" s="94">
        <f t="shared" si="0"/>
        <v>34.443442622950826</v>
      </c>
      <c r="H20" s="11"/>
      <c r="K20" s="101" t="s">
        <v>52</v>
      </c>
      <c r="L20" s="102">
        <f>AB32</f>
        <v>2.1941074728965761E-2</v>
      </c>
      <c r="U20" s="100">
        <v>3</v>
      </c>
      <c r="V20" s="80">
        <f t="shared" ref="V20:V29" si="5">V19+30</f>
        <v>43921</v>
      </c>
      <c r="W20" s="96">
        <f t="shared" ref="W20:W23" si="6">V20-V19</f>
        <v>30</v>
      </c>
      <c r="X20" s="93">
        <f t="shared" si="2"/>
        <v>204.91803278688525</v>
      </c>
      <c r="Y20" s="93">
        <f t="shared" ref="Y20:Y30" si="7">X20*18%</f>
        <v>36.885245901639344</v>
      </c>
      <c r="Z20" s="93">
        <f t="shared" ref="Z20:Z30" si="8">X20*1.5%</f>
        <v>3.0737704918032787</v>
      </c>
      <c r="AA20" s="94">
        <f t="shared" ref="AA20:AA30" si="9">X20-Y20-Z20</f>
        <v>164.95901639344262</v>
      </c>
      <c r="AB20" s="97"/>
    </row>
    <row r="21" spans="1:34" x14ac:dyDescent="0.25">
      <c r="A21" s="71">
        <f t="shared" si="3"/>
        <v>43774</v>
      </c>
      <c r="B21" s="90">
        <v>4</v>
      </c>
      <c r="C21" s="91">
        <f t="shared" si="4"/>
        <v>30</v>
      </c>
      <c r="D21" s="99">
        <v>0.36</v>
      </c>
      <c r="E21" s="99">
        <f>(B2*B5/366*(C21-1))</f>
        <v>42.786885245901644</v>
      </c>
      <c r="F21" s="93">
        <f t="shared" si="1"/>
        <v>8.3434426229508212</v>
      </c>
      <c r="G21" s="94">
        <f t="shared" si="0"/>
        <v>34.443442622950826</v>
      </c>
      <c r="H21" s="11"/>
      <c r="U21" s="100">
        <v>4</v>
      </c>
      <c r="V21" s="80">
        <f t="shared" si="5"/>
        <v>43951</v>
      </c>
      <c r="W21" s="96">
        <f t="shared" si="6"/>
        <v>30</v>
      </c>
      <c r="X21" s="93">
        <f t="shared" si="2"/>
        <v>204.91803278688525</v>
      </c>
      <c r="Y21" s="93">
        <f t="shared" si="7"/>
        <v>36.885245901639344</v>
      </c>
      <c r="Z21" s="93">
        <f t="shared" si="8"/>
        <v>3.0737704918032787</v>
      </c>
      <c r="AA21" s="94">
        <f t="shared" si="9"/>
        <v>164.95901639344262</v>
      </c>
      <c r="AB21" s="97"/>
    </row>
    <row r="22" spans="1:34" x14ac:dyDescent="0.25">
      <c r="A22" s="71">
        <f>A21+30</f>
        <v>43804</v>
      </c>
      <c r="B22" s="90">
        <v>5</v>
      </c>
      <c r="C22" s="98">
        <f t="shared" si="4"/>
        <v>30</v>
      </c>
      <c r="D22" s="99">
        <v>0.36</v>
      </c>
      <c r="E22" s="99">
        <f>(B2*B5/365*(C22-1))</f>
        <v>42.904109589041092</v>
      </c>
      <c r="F22" s="93">
        <f t="shared" si="1"/>
        <v>8.3663013698630131</v>
      </c>
      <c r="G22" s="94">
        <f t="shared" si="0"/>
        <v>34.537808219178075</v>
      </c>
      <c r="H22" s="11"/>
      <c r="U22" s="100">
        <v>5</v>
      </c>
      <c r="V22" s="80">
        <f t="shared" si="5"/>
        <v>43981</v>
      </c>
      <c r="W22" s="96">
        <f t="shared" si="6"/>
        <v>30</v>
      </c>
      <c r="X22" s="93">
        <f t="shared" si="2"/>
        <v>204.91803278688525</v>
      </c>
      <c r="Y22" s="93">
        <f t="shared" si="7"/>
        <v>36.885245901639344</v>
      </c>
      <c r="Z22" s="93">
        <f t="shared" si="8"/>
        <v>3.0737704918032787</v>
      </c>
      <c r="AA22" s="94">
        <f t="shared" si="9"/>
        <v>164.95901639344262</v>
      </c>
      <c r="AB22" s="97"/>
    </row>
    <row r="23" spans="1:34" x14ac:dyDescent="0.25">
      <c r="A23" s="71">
        <f>B6+150</f>
        <v>43804</v>
      </c>
      <c r="B23" s="90"/>
      <c r="C23" s="98"/>
      <c r="D23" s="99"/>
      <c r="E23" s="99">
        <f>B2</f>
        <v>150000</v>
      </c>
      <c r="F23" s="103"/>
      <c r="G23" s="103"/>
      <c r="H23" s="104" t="e">
        <f>XIRR(E7:E22,A7:A22)</f>
        <v>#VALUE!</v>
      </c>
      <c r="U23" s="100">
        <v>6</v>
      </c>
      <c r="V23" s="80">
        <f t="shared" si="5"/>
        <v>44011</v>
      </c>
      <c r="W23" s="96">
        <f t="shared" si="6"/>
        <v>30</v>
      </c>
      <c r="X23" s="93">
        <f>($W$2*$W$3/366*(W23))</f>
        <v>204.91803278688525</v>
      </c>
      <c r="Y23" s="93">
        <f t="shared" si="7"/>
        <v>36.885245901639344</v>
      </c>
      <c r="Z23" s="93">
        <f t="shared" si="8"/>
        <v>3.0737704918032787</v>
      </c>
      <c r="AA23" s="94">
        <f t="shared" si="9"/>
        <v>164.95901639344262</v>
      </c>
      <c r="AB23" s="97"/>
    </row>
    <row r="24" spans="1:34" x14ac:dyDescent="0.25">
      <c r="A24" s="105" t="s">
        <v>0</v>
      </c>
      <c r="B24" s="90"/>
      <c r="C24" s="91"/>
      <c r="D24" s="99"/>
      <c r="E24" s="99"/>
      <c r="F24" s="103"/>
      <c r="G24" s="103"/>
      <c r="H24" s="104"/>
      <c r="U24" s="100">
        <v>7</v>
      </c>
      <c r="V24" s="80">
        <f t="shared" si="5"/>
        <v>44041</v>
      </c>
      <c r="W24" s="96">
        <f>W7-(SUM(W17:W23))</f>
        <v>30</v>
      </c>
      <c r="X24" s="93">
        <f t="shared" si="2"/>
        <v>204.91803278688525</v>
      </c>
      <c r="Y24" s="93">
        <f t="shared" si="7"/>
        <v>36.885245901639344</v>
      </c>
      <c r="Z24" s="93">
        <f t="shared" si="8"/>
        <v>3.0737704918032787</v>
      </c>
      <c r="AA24" s="94">
        <f t="shared" si="9"/>
        <v>164.95901639344262</v>
      </c>
      <c r="AB24" s="97"/>
    </row>
    <row r="25" spans="1:34" x14ac:dyDescent="0.25">
      <c r="A25" s="71"/>
      <c r="B25" s="106"/>
      <c r="C25" s="91"/>
      <c r="D25" s="99"/>
      <c r="E25" s="99"/>
      <c r="F25" s="103"/>
      <c r="G25" s="103"/>
      <c r="H25" s="11"/>
      <c r="U25" s="107"/>
      <c r="V25" s="80">
        <f t="shared" si="5"/>
        <v>44071</v>
      </c>
      <c r="W25" s="96">
        <v>30</v>
      </c>
      <c r="X25" s="93">
        <f t="shared" si="2"/>
        <v>204.91803278688525</v>
      </c>
      <c r="Y25" s="93">
        <f t="shared" si="7"/>
        <v>36.885245901639344</v>
      </c>
      <c r="Z25" s="93">
        <f t="shared" si="8"/>
        <v>3.0737704918032787</v>
      </c>
      <c r="AA25" s="94">
        <f t="shared" si="9"/>
        <v>164.95901639344262</v>
      </c>
      <c r="AB25" s="97"/>
    </row>
    <row r="26" spans="1:34" x14ac:dyDescent="0.25">
      <c r="A26" s="71"/>
      <c r="B26" s="106"/>
      <c r="C26" s="91"/>
      <c r="D26" s="99"/>
      <c r="E26" s="99"/>
      <c r="F26" s="103"/>
      <c r="G26" s="103"/>
      <c r="H26" s="11"/>
      <c r="U26" s="107"/>
      <c r="V26" s="80">
        <f t="shared" si="5"/>
        <v>44101</v>
      </c>
      <c r="W26" s="96">
        <v>30</v>
      </c>
      <c r="X26" s="93">
        <f t="shared" si="2"/>
        <v>204.91803278688525</v>
      </c>
      <c r="Y26" s="93">
        <f t="shared" si="7"/>
        <v>36.885245901639344</v>
      </c>
      <c r="Z26" s="93">
        <f t="shared" si="8"/>
        <v>3.0737704918032787</v>
      </c>
      <c r="AA26" s="94">
        <f t="shared" si="9"/>
        <v>164.95901639344262</v>
      </c>
      <c r="AB26" s="97"/>
    </row>
    <row r="27" spans="1:34" x14ac:dyDescent="0.25">
      <c r="A27" s="71"/>
      <c r="B27" s="106"/>
      <c r="C27" s="91"/>
      <c r="D27" s="99"/>
      <c r="E27" s="99"/>
      <c r="F27" s="103"/>
      <c r="G27" s="103"/>
      <c r="H27" s="11"/>
      <c r="U27" s="107"/>
      <c r="V27" s="80">
        <f t="shared" si="5"/>
        <v>44131</v>
      </c>
      <c r="W27" s="96">
        <v>30</v>
      </c>
      <c r="X27" s="93">
        <f t="shared" si="2"/>
        <v>204.91803278688525</v>
      </c>
      <c r="Y27" s="93">
        <f t="shared" si="7"/>
        <v>36.885245901639344</v>
      </c>
      <c r="Z27" s="93">
        <f t="shared" si="8"/>
        <v>3.0737704918032787</v>
      </c>
      <c r="AA27" s="94">
        <f t="shared" si="9"/>
        <v>164.95901639344262</v>
      </c>
      <c r="AB27" s="97"/>
    </row>
    <row r="28" spans="1:34" x14ac:dyDescent="0.25">
      <c r="A28" s="71"/>
      <c r="B28" s="106"/>
      <c r="C28" s="91"/>
      <c r="D28" s="99"/>
      <c r="E28" s="99"/>
      <c r="F28" s="103"/>
      <c r="G28" s="103"/>
      <c r="H28" s="11"/>
      <c r="U28" s="107"/>
      <c r="V28" s="80">
        <f t="shared" si="5"/>
        <v>44161</v>
      </c>
      <c r="W28" s="96">
        <v>30</v>
      </c>
      <c r="X28" s="93">
        <f t="shared" si="2"/>
        <v>204.91803278688525</v>
      </c>
      <c r="Y28" s="93">
        <f t="shared" si="7"/>
        <v>36.885245901639344</v>
      </c>
      <c r="Z28" s="93">
        <f t="shared" si="8"/>
        <v>3.0737704918032787</v>
      </c>
      <c r="AA28" s="94">
        <f t="shared" si="9"/>
        <v>164.95901639344262</v>
      </c>
      <c r="AB28" s="97"/>
    </row>
    <row r="29" spans="1:34" x14ac:dyDescent="0.25">
      <c r="A29" s="71"/>
      <c r="B29" s="106"/>
      <c r="C29" s="91"/>
      <c r="D29" s="99"/>
      <c r="E29" s="99"/>
      <c r="F29" s="103"/>
      <c r="G29" s="103"/>
      <c r="H29" s="11"/>
      <c r="U29" s="107"/>
      <c r="V29" s="80">
        <f t="shared" si="5"/>
        <v>44191</v>
      </c>
      <c r="W29" s="96">
        <v>30</v>
      </c>
      <c r="X29" s="93">
        <f t="shared" si="2"/>
        <v>204.91803278688525</v>
      </c>
      <c r="Y29" s="93">
        <f t="shared" si="7"/>
        <v>36.885245901639344</v>
      </c>
      <c r="Z29" s="93">
        <f t="shared" si="8"/>
        <v>3.0737704918032787</v>
      </c>
      <c r="AA29" s="94">
        <f t="shared" si="9"/>
        <v>164.95901639344262</v>
      </c>
      <c r="AB29" s="97"/>
    </row>
    <row r="30" spans="1:34" x14ac:dyDescent="0.25">
      <c r="A30" s="71"/>
      <c r="B30" s="106"/>
      <c r="C30" s="91"/>
      <c r="D30" s="99"/>
      <c r="E30" s="99"/>
      <c r="F30" s="103"/>
      <c r="G30" s="103"/>
      <c r="H30" s="11"/>
      <c r="U30" s="107"/>
      <c r="V30" s="80">
        <f>V29+30</f>
        <v>44221</v>
      </c>
      <c r="W30" s="96">
        <v>30</v>
      </c>
      <c r="X30" s="93">
        <f t="shared" si="2"/>
        <v>204.91803278688525</v>
      </c>
      <c r="Y30" s="93">
        <f t="shared" si="7"/>
        <v>36.885245901639344</v>
      </c>
      <c r="Z30" s="93">
        <f t="shared" si="8"/>
        <v>3.0737704918032787</v>
      </c>
      <c r="AA30" s="94">
        <f t="shared" si="9"/>
        <v>164.95901639344262</v>
      </c>
      <c r="AB30" s="97"/>
    </row>
    <row r="31" spans="1:34" x14ac:dyDescent="0.25">
      <c r="A31" s="71"/>
      <c r="B31" s="106"/>
      <c r="C31" s="91"/>
      <c r="D31" s="99"/>
      <c r="E31" s="99"/>
      <c r="F31" s="103"/>
      <c r="G31" s="103"/>
      <c r="H31" s="11"/>
      <c r="U31" s="107"/>
      <c r="V31" s="87">
        <f>W6+W32</f>
        <v>44191</v>
      </c>
      <c r="W31" s="108"/>
      <c r="X31" s="109">
        <f>W2</f>
        <v>100000</v>
      </c>
      <c r="Y31" s="109"/>
      <c r="Z31" s="93"/>
      <c r="AA31" s="94">
        <f>X31-Y31-Z31</f>
        <v>100000</v>
      </c>
      <c r="AB31" s="97"/>
    </row>
    <row r="32" spans="1:34" s="112" customFormat="1" x14ac:dyDescent="0.25">
      <c r="A32" s="105" t="s">
        <v>0</v>
      </c>
      <c r="B32" s="59"/>
      <c r="C32" s="110">
        <f>SUM(C17:C24)</f>
        <v>150</v>
      </c>
      <c r="D32" s="92">
        <f>AVERAGE(D17:D24)</f>
        <v>7.6079999999999997</v>
      </c>
      <c r="E32" s="92">
        <f>SUM(E17:E24)</f>
        <v>154521.26476532675</v>
      </c>
      <c r="F32" s="111"/>
      <c r="G32" s="111"/>
      <c r="H32" s="104" t="e">
        <f>XIRR(E16:E31,A16:A31)</f>
        <v>#VALUE!</v>
      </c>
      <c r="U32" s="113"/>
      <c r="V32" s="55" t="s">
        <v>0</v>
      </c>
      <c r="W32" s="114">
        <f>W8*30</f>
        <v>360</v>
      </c>
      <c r="X32" s="115">
        <f>SUM(X17:X30)</f>
        <v>2663.9344262295085</v>
      </c>
      <c r="Y32" s="115">
        <f>SUM(Y17:Y30)</f>
        <v>479.50819672131144</v>
      </c>
      <c r="Z32" s="115">
        <f>SUM(Z17:Z30)</f>
        <v>39.959016393442631</v>
      </c>
      <c r="AA32" s="115">
        <f>X32-Y32</f>
        <v>2184.4262295081971</v>
      </c>
      <c r="AB32" s="104">
        <f>XIRR(AA16:AA31,V16:V31)</f>
        <v>2.1941074728965761E-2</v>
      </c>
      <c r="AC32" s="116"/>
      <c r="AD32" s="116"/>
      <c r="AE32" s="116"/>
      <c r="AF32" s="116"/>
      <c r="AG32" s="116"/>
      <c r="AH32" s="116"/>
    </row>
    <row r="33" spans="1:34" x14ac:dyDescent="0.25">
      <c r="A33" s="10"/>
      <c r="B33" s="10"/>
      <c r="C33" s="117"/>
      <c r="D33" s="10"/>
      <c r="E33" s="10"/>
      <c r="F33" s="10"/>
      <c r="G33" s="10"/>
      <c r="H33" s="11"/>
      <c r="U33" s="13"/>
      <c r="V33" s="16"/>
      <c r="W33" s="16"/>
      <c r="X33" s="16"/>
      <c r="Y33" s="16"/>
      <c r="Z33" s="16"/>
      <c r="AA33" s="16"/>
      <c r="AB33" s="16"/>
    </row>
    <row r="34" spans="1:34" x14ac:dyDescent="0.25">
      <c r="A34" s="10"/>
      <c r="B34" s="10"/>
      <c r="C34" s="117"/>
      <c r="D34" s="10"/>
      <c r="E34" s="10"/>
      <c r="F34" s="10"/>
      <c r="G34" s="10"/>
      <c r="H34" s="11"/>
      <c r="U34" s="13"/>
      <c r="V34" s="16"/>
      <c r="W34" s="16"/>
      <c r="X34" s="16"/>
      <c r="Y34" s="16"/>
      <c r="Z34" s="16"/>
      <c r="AA34" s="16"/>
      <c r="AB34" s="16"/>
    </row>
    <row r="35" spans="1:34" x14ac:dyDescent="0.25">
      <c r="A35" s="159" t="s">
        <v>20</v>
      </c>
      <c r="B35" s="152"/>
      <c r="C35" s="152"/>
      <c r="D35" s="152"/>
      <c r="E35" s="118"/>
      <c r="F35" s="118"/>
      <c r="G35" s="118"/>
      <c r="H35" s="11"/>
      <c r="U35" s="119"/>
      <c r="V35" s="160" t="s">
        <v>20</v>
      </c>
      <c r="W35" s="153"/>
      <c r="X35" s="153"/>
      <c r="Y35" s="120"/>
      <c r="Z35" s="120"/>
      <c r="AA35" s="120"/>
      <c r="AB35" s="16"/>
    </row>
    <row r="36" spans="1:34" s="122" customFormat="1" x14ac:dyDescent="0.25">
      <c r="A36" s="152" t="s">
        <v>21</v>
      </c>
      <c r="B36" s="152"/>
      <c r="C36" s="152"/>
      <c r="D36" s="152"/>
      <c r="E36" s="118"/>
      <c r="F36" s="118"/>
      <c r="G36" s="118"/>
      <c r="H36" s="121"/>
      <c r="U36" s="123"/>
      <c r="V36" s="153" t="s">
        <v>21</v>
      </c>
      <c r="W36" s="153"/>
      <c r="X36" s="153"/>
      <c r="Y36" s="120"/>
      <c r="Z36" s="120"/>
      <c r="AA36" s="120"/>
      <c r="AB36" s="124"/>
      <c r="AC36" s="125"/>
      <c r="AD36" s="125"/>
      <c r="AE36" s="125"/>
      <c r="AF36" s="125"/>
      <c r="AG36" s="125"/>
      <c r="AH36" s="125"/>
    </row>
    <row r="37" spans="1:34" x14ac:dyDescent="0.25">
      <c r="A37" s="10"/>
      <c r="B37" s="10"/>
      <c r="C37" s="117"/>
      <c r="D37" s="10"/>
      <c r="E37" s="10"/>
      <c r="F37" s="10"/>
      <c r="G37" s="10"/>
      <c r="H37" s="11"/>
      <c r="U37" s="126"/>
      <c r="V37" s="127"/>
      <c r="W37" s="127"/>
      <c r="X37" s="16"/>
      <c r="Y37" s="16"/>
      <c r="Z37" s="16"/>
      <c r="AA37" s="16"/>
      <c r="AB37" s="16"/>
    </row>
    <row r="38" spans="1:34" x14ac:dyDescent="0.25">
      <c r="A38" s="10"/>
      <c r="B38" s="10"/>
      <c r="C38" s="117"/>
      <c r="D38" s="10"/>
      <c r="E38" s="10"/>
      <c r="F38" s="10"/>
      <c r="G38" s="10"/>
      <c r="H38" s="11"/>
      <c r="U38" s="126"/>
      <c r="V38" s="127"/>
      <c r="W38" s="127"/>
      <c r="X38" s="16"/>
      <c r="Y38" s="16"/>
      <c r="Z38" s="16"/>
      <c r="AA38" s="16"/>
      <c r="AB38" s="16"/>
    </row>
    <row r="39" spans="1:34" x14ac:dyDescent="0.25">
      <c r="A39" s="10"/>
      <c r="B39" s="10"/>
      <c r="C39" s="117"/>
      <c r="D39" s="10"/>
      <c r="E39" s="10"/>
      <c r="F39" s="10"/>
      <c r="G39" s="10"/>
      <c r="H39" s="11"/>
      <c r="U39" s="126"/>
      <c r="V39" s="127"/>
      <c r="W39" s="127"/>
      <c r="X39" s="16"/>
      <c r="Y39" s="16"/>
      <c r="Z39" s="16"/>
      <c r="AA39" s="16"/>
      <c r="AB39" s="16"/>
    </row>
    <row r="40" spans="1:34" x14ac:dyDescent="0.25">
      <c r="A40" s="10"/>
      <c r="B40" s="10"/>
      <c r="C40" s="117"/>
      <c r="D40" s="10"/>
      <c r="E40" s="10"/>
      <c r="F40" s="10"/>
      <c r="G40" s="10"/>
      <c r="H40" s="11"/>
      <c r="U40" s="126"/>
      <c r="V40" s="127"/>
      <c r="W40" s="127"/>
      <c r="X40" s="16"/>
      <c r="Y40" s="16"/>
      <c r="Z40" s="16"/>
      <c r="AA40" s="16"/>
      <c r="AB40" s="16"/>
    </row>
    <row r="41" spans="1:34" x14ac:dyDescent="0.25">
      <c r="A41" s="10"/>
      <c r="B41" s="10"/>
      <c r="C41" s="117"/>
      <c r="D41" s="10"/>
      <c r="E41" s="10"/>
      <c r="F41" s="10"/>
      <c r="G41" s="10"/>
      <c r="H41" s="11"/>
      <c r="U41" s="126"/>
      <c r="V41" s="127"/>
      <c r="W41" s="127"/>
      <c r="X41" s="16"/>
      <c r="Y41" s="16"/>
      <c r="Z41" s="16"/>
      <c r="AA41" s="16"/>
      <c r="AB41" s="16"/>
    </row>
    <row r="42" spans="1:34" x14ac:dyDescent="0.25">
      <c r="A42" s="10"/>
      <c r="B42" s="10"/>
      <c r="C42" s="117"/>
      <c r="D42" s="10"/>
      <c r="E42" s="10"/>
      <c r="F42" s="10"/>
      <c r="G42" s="10"/>
      <c r="H42" s="11"/>
      <c r="U42" s="126"/>
      <c r="V42" s="127"/>
      <c r="W42" s="127"/>
      <c r="X42" s="16"/>
      <c r="Y42" s="16"/>
      <c r="Z42" s="16"/>
      <c r="AA42" s="16"/>
      <c r="AB42" s="16"/>
    </row>
    <row r="43" spans="1:34" x14ac:dyDescent="0.25">
      <c r="A43" s="10"/>
      <c r="B43" s="10"/>
      <c r="C43" s="117"/>
      <c r="D43" s="10"/>
      <c r="E43" s="10"/>
      <c r="F43" s="10"/>
      <c r="G43" s="10"/>
      <c r="H43" s="11"/>
      <c r="U43" s="126"/>
      <c r="V43" s="127"/>
      <c r="W43" s="127"/>
      <c r="X43" s="16"/>
      <c r="Y43" s="16"/>
      <c r="Z43" s="16"/>
      <c r="AA43" s="16"/>
      <c r="AB43" s="16"/>
    </row>
    <row r="44" spans="1:34" x14ac:dyDescent="0.25">
      <c r="A44" s="10"/>
      <c r="B44" s="10"/>
      <c r="C44" s="117"/>
      <c r="D44" s="10"/>
      <c r="E44" s="10"/>
      <c r="F44" s="10"/>
      <c r="G44" s="10"/>
      <c r="H44" s="11"/>
      <c r="U44" s="126"/>
      <c r="V44" s="127"/>
      <c r="W44" s="127"/>
      <c r="X44" s="16"/>
      <c r="Y44" s="16"/>
      <c r="Z44" s="16"/>
      <c r="AA44" s="16"/>
      <c r="AB44" s="16"/>
    </row>
    <row r="45" spans="1:34" x14ac:dyDescent="0.25">
      <c r="A45" s="10"/>
      <c r="B45" s="10"/>
      <c r="C45" s="117"/>
      <c r="D45" s="10"/>
      <c r="E45" s="10"/>
      <c r="F45" s="10"/>
      <c r="G45" s="10"/>
      <c r="H45" s="11"/>
      <c r="U45" s="126"/>
      <c r="V45" s="127"/>
      <c r="W45" s="127"/>
      <c r="X45" s="16"/>
      <c r="Y45" s="16"/>
      <c r="Z45" s="16"/>
      <c r="AA45" s="16"/>
      <c r="AB45" s="16"/>
    </row>
    <row r="46" spans="1:34" x14ac:dyDescent="0.25">
      <c r="A46" s="10"/>
      <c r="B46" s="10"/>
      <c r="C46" s="117"/>
      <c r="D46" s="10"/>
      <c r="E46" s="10"/>
      <c r="F46" s="10"/>
      <c r="G46" s="10"/>
      <c r="H46" s="11"/>
      <c r="U46" s="126"/>
      <c r="V46" s="127"/>
      <c r="W46" s="127"/>
      <c r="X46" s="16"/>
      <c r="Y46" s="16"/>
      <c r="Z46" s="16"/>
      <c r="AA46" s="16"/>
      <c r="AB46" s="16"/>
    </row>
    <row r="47" spans="1:34" x14ac:dyDescent="0.25">
      <c r="A47" s="10"/>
      <c r="B47" s="10"/>
      <c r="C47" s="117"/>
      <c r="D47" s="10"/>
      <c r="E47" s="10"/>
      <c r="F47" s="10"/>
      <c r="G47" s="10"/>
      <c r="H47" s="11"/>
      <c r="U47" s="126"/>
      <c r="V47" s="127"/>
      <c r="W47" s="127"/>
      <c r="X47" s="16"/>
      <c r="Y47" s="16"/>
      <c r="Z47" s="16"/>
      <c r="AA47" s="16"/>
      <c r="AB47" s="16"/>
    </row>
    <row r="48" spans="1:34" x14ac:dyDescent="0.25">
      <c r="A48" s="10"/>
      <c r="B48" s="10"/>
      <c r="C48" s="117"/>
      <c r="D48" s="10"/>
      <c r="E48" s="10"/>
      <c r="F48" s="10"/>
      <c r="G48" s="10"/>
      <c r="H48" s="11"/>
      <c r="U48" s="126"/>
      <c r="V48" s="127"/>
      <c r="W48" s="127"/>
      <c r="X48" s="16"/>
      <c r="Y48" s="16"/>
      <c r="Z48" s="16"/>
      <c r="AA48" s="16"/>
      <c r="AB48" s="16"/>
    </row>
    <row r="49" spans="1:28" x14ac:dyDescent="0.25">
      <c r="A49" s="10"/>
      <c r="B49" s="10"/>
      <c r="C49" s="117"/>
      <c r="D49" s="10"/>
      <c r="E49" s="10"/>
      <c r="F49" s="10"/>
      <c r="G49" s="10"/>
      <c r="H49" s="11"/>
      <c r="U49" s="126"/>
      <c r="V49" s="127"/>
      <c r="W49" s="127"/>
      <c r="X49" s="127"/>
      <c r="Y49" s="127"/>
      <c r="Z49" s="127"/>
      <c r="AA49" s="127"/>
      <c r="AB49" s="127"/>
    </row>
    <row r="50" spans="1:28" x14ac:dyDescent="0.25">
      <c r="A50" s="10"/>
      <c r="B50" s="10"/>
      <c r="C50" s="117"/>
      <c r="D50" s="10"/>
      <c r="E50" s="10"/>
      <c r="F50" s="10"/>
      <c r="G50" s="10"/>
      <c r="H50" s="11"/>
      <c r="U50" s="126"/>
      <c r="V50" s="127"/>
      <c r="W50" s="127"/>
      <c r="X50" s="127"/>
      <c r="Y50" s="127"/>
      <c r="Z50" s="127"/>
      <c r="AA50" s="127"/>
      <c r="AB50" s="127"/>
    </row>
    <row r="51" spans="1:28" ht="15.75" thickBot="1" x14ac:dyDescent="0.3">
      <c r="A51" s="128"/>
      <c r="B51" s="128"/>
      <c r="C51" s="129"/>
      <c r="D51" s="128"/>
      <c r="E51" s="128"/>
      <c r="F51" s="128"/>
      <c r="G51" s="128"/>
      <c r="H51" s="130"/>
      <c r="U51" s="131"/>
      <c r="V51" s="132"/>
      <c r="W51" s="132"/>
      <c r="X51" s="132"/>
      <c r="Y51" s="132"/>
      <c r="Z51" s="132"/>
      <c r="AA51" s="132"/>
      <c r="AB51" s="132"/>
    </row>
  </sheetData>
  <sheetProtection algorithmName="SHA-512" hashValue="C9vdi6czw6bN6sO3fZu6Eww2BKzAyvLQX+QBJGgbj3p3tfVhzv48khXR+uc3GwVfOwhNvesI3y/KRALO1x2KwA==" saltValue="sseJ8nv3T+uIto6GSA8fMw==" spinCount="100000" sheet="1" formatCells="0" formatColumns="0" formatRows="0" insertColumns="0" insertRows="0" insertHyperlinks="0" deleteColumns="0" deleteRows="0" sort="0" autoFilter="0" pivotTables="0"/>
  <mergeCells count="22">
    <mergeCell ref="A36:D36"/>
    <mergeCell ref="V36:X36"/>
    <mergeCell ref="K2:L2"/>
    <mergeCell ref="K3:L3"/>
    <mergeCell ref="A13:E13"/>
    <mergeCell ref="V13:X13"/>
    <mergeCell ref="A35:D35"/>
    <mergeCell ref="V35:X35"/>
    <mergeCell ref="B10:D10"/>
    <mergeCell ref="W10:X10"/>
    <mergeCell ref="B11:D11"/>
    <mergeCell ref="W11:X11"/>
    <mergeCell ref="B4:C4"/>
    <mergeCell ref="B5:C5"/>
    <mergeCell ref="B6:C6"/>
    <mergeCell ref="B8:C8"/>
    <mergeCell ref="A1:E1"/>
    <mergeCell ref="V1:X1"/>
    <mergeCell ref="B2:C2"/>
    <mergeCell ref="A3:C3"/>
    <mergeCell ref="V3:V5"/>
    <mergeCell ref="W3:W5"/>
  </mergeCells>
  <dataValidations count="5">
    <dataValidation type="whole" operator="greaterThanOrEqual" allowBlank="1" showInputMessage="1" showErrorMessage="1" error="Сума депозиту не відповідає умовам продукту" sqref="B2:C2">
      <formula1>5000</formula1>
    </dataValidation>
    <dataValidation allowBlank="1" showInputMessage="1" showErrorMessage="1" error="Сума депозиту не відповідає умовам продукту" sqref="W2"/>
    <dataValidation type="list" allowBlank="1" showInputMessage="1" showErrorMessage="1" sqref="C7">
      <formula1>"210"</formula1>
    </dataValidation>
    <dataValidation type="whole" allowBlank="1" showInputMessage="1" showErrorMessage="1" sqref="K10">
      <formula1>12</formula1>
      <formula2>12</formula2>
    </dataValidation>
    <dataValidation type="whole" allowBlank="1" showInputMessage="1" showErrorMessage="1" sqref="K7">
      <formula1>1000</formula1>
      <formula2>9999999999999990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W8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opLeftCell="J1" zoomScale="93" zoomScaleNormal="93" workbookViewId="0">
      <selection activeCell="K20" sqref="K20"/>
    </sheetView>
  </sheetViews>
  <sheetFormatPr defaultRowHeight="15" x14ac:dyDescent="0.25"/>
  <cols>
    <col min="1" max="1" width="39.5703125" style="12" hidden="1" customWidth="1"/>
    <col min="2" max="2" width="18.42578125" style="12" hidden="1" customWidth="1"/>
    <col min="3" max="3" width="5.7109375" style="133" hidden="1" customWidth="1"/>
    <col min="4" max="4" width="16.7109375" style="12" hidden="1" customWidth="1"/>
    <col min="5" max="6" width="16.28515625" style="12" hidden="1" customWidth="1"/>
    <col min="7" max="7" width="20.5703125" style="12" hidden="1" customWidth="1"/>
    <col min="8" max="9" width="9.140625" style="12" hidden="1" customWidth="1"/>
    <col min="10" max="10" width="9.140625" style="12"/>
    <col min="11" max="11" width="78.85546875" style="12" bestFit="1" customWidth="1"/>
    <col min="12" max="12" width="16.7109375" style="12" customWidth="1"/>
    <col min="13" max="14" width="9.140625" style="12"/>
    <col min="15" max="19" width="9.140625" style="12" customWidth="1"/>
    <col min="20" max="20" width="9.140625" style="12" hidden="1" customWidth="1"/>
    <col min="21" max="21" width="10.85546875" style="17" hidden="1" customWidth="1"/>
    <col min="22" max="22" width="39.42578125" style="17" hidden="1" customWidth="1"/>
    <col min="23" max="23" width="17.42578125" style="17" hidden="1" customWidth="1"/>
    <col min="24" max="24" width="16.85546875" style="17" hidden="1" customWidth="1"/>
    <col min="25" max="26" width="22.140625" style="17" hidden="1" customWidth="1"/>
    <col min="27" max="27" width="18.7109375" style="17" hidden="1" customWidth="1"/>
    <col min="28" max="28" width="10.5703125" style="17" hidden="1" customWidth="1"/>
    <col min="29" max="30" width="9.140625" style="17" hidden="1" customWidth="1"/>
    <col min="31" max="31" width="15.5703125" style="17" hidden="1" customWidth="1"/>
    <col min="32" max="34" width="9.140625" style="17" hidden="1" customWidth="1"/>
    <col min="35" max="42" width="9.140625" style="12" customWidth="1"/>
    <col min="43" max="16384" width="9.140625" style="12"/>
  </cols>
  <sheetData>
    <row r="1" spans="1:34" s="4" customFormat="1" ht="18.75" x14ac:dyDescent="0.2">
      <c r="A1" s="142" t="s">
        <v>2</v>
      </c>
      <c r="B1" s="142"/>
      <c r="C1" s="142"/>
      <c r="D1" s="142"/>
      <c r="E1" s="142"/>
      <c r="F1" s="135"/>
      <c r="G1" s="135"/>
      <c r="H1" s="3"/>
      <c r="U1" s="5"/>
      <c r="V1" s="143" t="s">
        <v>3</v>
      </c>
      <c r="W1" s="143"/>
      <c r="X1" s="143"/>
      <c r="Y1" s="136"/>
      <c r="Z1" s="136"/>
      <c r="AA1" s="136"/>
      <c r="AB1" s="7"/>
      <c r="AC1" s="8"/>
      <c r="AD1" s="8"/>
      <c r="AE1" s="8"/>
      <c r="AF1" s="8"/>
      <c r="AG1" s="8"/>
      <c r="AH1" s="8"/>
    </row>
    <row r="2" spans="1:34" ht="18.75" x14ac:dyDescent="0.3">
      <c r="A2" s="9" t="s">
        <v>4</v>
      </c>
      <c r="B2" s="144">
        <v>150000</v>
      </c>
      <c r="C2" s="144"/>
      <c r="D2" s="10"/>
      <c r="E2" s="10"/>
      <c r="F2" s="10"/>
      <c r="G2" s="10"/>
      <c r="H2" s="11"/>
      <c r="K2" s="154" t="s">
        <v>22</v>
      </c>
      <c r="L2" s="154"/>
      <c r="U2" s="13"/>
      <c r="V2" s="14" t="s">
        <v>4</v>
      </c>
      <c r="W2" s="15">
        <f>K7</f>
        <v>300</v>
      </c>
      <c r="X2" s="16"/>
      <c r="Y2" s="16"/>
      <c r="Z2" s="16"/>
      <c r="AA2" s="16"/>
      <c r="AB2" s="16"/>
    </row>
    <row r="3" spans="1:34" ht="18.75" x14ac:dyDescent="0.3">
      <c r="A3" s="145" t="s">
        <v>5</v>
      </c>
      <c r="B3" s="145"/>
      <c r="C3" s="145"/>
      <c r="D3" s="10"/>
      <c r="E3" s="10"/>
      <c r="F3" s="10"/>
      <c r="G3" s="10"/>
      <c r="H3" s="11"/>
      <c r="K3" s="154" t="s">
        <v>34</v>
      </c>
      <c r="L3" s="154"/>
      <c r="U3" s="13"/>
      <c r="V3" s="146" t="s">
        <v>6</v>
      </c>
      <c r="W3" s="149">
        <f>IF(W2&gt;=300,IF(W2&gt;100000,IF(W2&gt;5000000,IF(W2&gt;10000000,AF7%,AF6%),AF5%),AF4%),0%)</f>
        <v>1E-4</v>
      </c>
      <c r="X3" s="16"/>
      <c r="Y3" s="16"/>
      <c r="Z3" s="16"/>
      <c r="AA3" s="16"/>
      <c r="AB3" s="16"/>
      <c r="AE3" s="8" t="s">
        <v>23</v>
      </c>
      <c r="AF3" s="17">
        <v>0</v>
      </c>
    </row>
    <row r="4" spans="1:34" ht="18.75" x14ac:dyDescent="0.3">
      <c r="A4" s="137" t="s">
        <v>7</v>
      </c>
      <c r="B4" s="169">
        <v>0.36599999999999999</v>
      </c>
      <c r="C4" s="169"/>
      <c r="D4" s="10"/>
      <c r="E4" s="10"/>
      <c r="F4" s="10"/>
      <c r="G4" s="10"/>
      <c r="H4" s="11"/>
      <c r="K4" s="19"/>
      <c r="L4" s="20"/>
      <c r="U4" s="13"/>
      <c r="V4" s="147"/>
      <c r="W4" s="150"/>
      <c r="X4" s="16"/>
      <c r="Y4" s="16"/>
      <c r="Z4" s="16"/>
      <c r="AA4" s="16"/>
      <c r="AB4" s="16"/>
      <c r="AE4" s="8" t="s">
        <v>24</v>
      </c>
      <c r="AF4" s="17">
        <v>0.01</v>
      </c>
    </row>
    <row r="5" spans="1:34" ht="18.75" x14ac:dyDescent="0.3">
      <c r="A5" s="137" t="s">
        <v>8</v>
      </c>
      <c r="B5" s="169">
        <v>3.5999999999999999E-3</v>
      </c>
      <c r="C5" s="169"/>
      <c r="D5" s="10"/>
      <c r="E5" s="10"/>
      <c r="F5" s="10"/>
      <c r="G5" s="10"/>
      <c r="H5" s="11"/>
      <c r="K5" s="21"/>
      <c r="L5" s="22"/>
      <c r="U5" s="13"/>
      <c r="V5" s="148"/>
      <c r="W5" s="151"/>
      <c r="X5" s="16"/>
      <c r="Y5" s="16"/>
      <c r="Z5" s="16"/>
      <c r="AA5" s="16"/>
      <c r="AB5" s="16"/>
      <c r="AE5" s="8" t="s">
        <v>25</v>
      </c>
      <c r="AF5" s="17">
        <v>0.01</v>
      </c>
    </row>
    <row r="6" spans="1:34" ht="18.75" x14ac:dyDescent="0.3">
      <c r="A6" s="9" t="s">
        <v>9</v>
      </c>
      <c r="B6" s="170">
        <v>43654</v>
      </c>
      <c r="C6" s="170"/>
      <c r="D6" s="10"/>
      <c r="E6" s="10"/>
      <c r="F6" s="10"/>
      <c r="G6" s="10"/>
      <c r="H6" s="11"/>
      <c r="K6" s="1" t="s">
        <v>28</v>
      </c>
      <c r="L6" s="22"/>
      <c r="U6" s="13"/>
      <c r="V6" s="14" t="s">
        <v>9</v>
      </c>
      <c r="W6" s="23">
        <v>43831</v>
      </c>
      <c r="X6" s="16"/>
      <c r="Y6" s="16"/>
      <c r="Z6" s="16"/>
      <c r="AA6" s="16"/>
      <c r="AB6" s="16"/>
      <c r="AE6" s="8" t="s">
        <v>26</v>
      </c>
      <c r="AF6" s="17">
        <v>0.01</v>
      </c>
    </row>
    <row r="7" spans="1:34" ht="18.75" x14ac:dyDescent="0.3">
      <c r="A7" s="9" t="s">
        <v>10</v>
      </c>
      <c r="B7" s="9"/>
      <c r="C7" s="24">
        <v>210</v>
      </c>
      <c r="D7" s="10"/>
      <c r="E7" s="10"/>
      <c r="F7" s="10"/>
      <c r="G7" s="10"/>
      <c r="H7" s="11"/>
      <c r="K7" s="134">
        <v>300</v>
      </c>
      <c r="L7" s="22"/>
      <c r="U7" s="13"/>
      <c r="V7" s="14" t="s">
        <v>10</v>
      </c>
      <c r="W7" s="25">
        <v>210</v>
      </c>
      <c r="X7" s="16"/>
      <c r="Y7" s="16"/>
      <c r="Z7" s="16"/>
      <c r="AA7" s="16"/>
      <c r="AB7" s="16"/>
      <c r="AE7" s="4" t="s">
        <v>27</v>
      </c>
      <c r="AF7" s="17">
        <v>0.01</v>
      </c>
    </row>
    <row r="8" spans="1:34" ht="18.75" x14ac:dyDescent="0.3">
      <c r="A8" s="9" t="s">
        <v>10</v>
      </c>
      <c r="B8" s="171">
        <v>150</v>
      </c>
      <c r="C8" s="171"/>
      <c r="D8" s="10"/>
      <c r="E8" s="10"/>
      <c r="F8" s="10"/>
      <c r="G8" s="10"/>
      <c r="H8" s="11"/>
      <c r="K8" s="26"/>
      <c r="L8" s="22"/>
      <c r="U8" s="13"/>
      <c r="V8" s="14" t="s">
        <v>10</v>
      </c>
      <c r="W8" s="25">
        <v>12</v>
      </c>
      <c r="X8" s="16"/>
      <c r="Y8" s="16"/>
      <c r="Z8" s="16"/>
      <c r="AA8" s="16"/>
      <c r="AB8" s="16"/>
    </row>
    <row r="9" spans="1:34" ht="18.75" x14ac:dyDescent="0.3">
      <c r="A9" s="27"/>
      <c r="B9" s="27"/>
      <c r="C9" s="28"/>
      <c r="D9" s="10"/>
      <c r="E9" s="10"/>
      <c r="F9" s="10"/>
      <c r="G9" s="10"/>
      <c r="H9" s="11"/>
      <c r="K9" s="1" t="s">
        <v>29</v>
      </c>
      <c r="L9" s="22"/>
      <c r="U9" s="13"/>
      <c r="V9" s="29"/>
      <c r="W9" s="30"/>
      <c r="X9" s="16"/>
      <c r="Y9" s="16"/>
      <c r="Z9" s="16"/>
      <c r="AA9" s="16"/>
      <c r="AB9" s="16"/>
    </row>
    <row r="10" spans="1:34" s="33" customFormat="1" ht="18.75" x14ac:dyDescent="0.3">
      <c r="A10" s="31" t="s">
        <v>11</v>
      </c>
      <c r="B10" s="161">
        <f>(B2*B4/365*(C17-1))+(B2*B5/365*((C19+C20+C21+C22+C23+C24)-6))</f>
        <v>4530.5753424657523</v>
      </c>
      <c r="C10" s="162"/>
      <c r="D10" s="163"/>
      <c r="E10" s="10"/>
      <c r="F10" s="10"/>
      <c r="G10" s="10"/>
      <c r="H10" s="32"/>
      <c r="K10" s="34">
        <v>12</v>
      </c>
      <c r="L10" s="22"/>
      <c r="U10" s="35"/>
      <c r="V10" s="36" t="s">
        <v>11</v>
      </c>
      <c r="W10" s="164">
        <f>W2*W3/366*(W7-2)</f>
        <v>1.7049180327868854E-2</v>
      </c>
      <c r="X10" s="164"/>
      <c r="Y10" s="37"/>
      <c r="Z10" s="37"/>
      <c r="AA10" s="37"/>
      <c r="AB10" s="38"/>
      <c r="AC10" s="8"/>
      <c r="AD10" s="8"/>
      <c r="AE10" s="8"/>
      <c r="AF10" s="8"/>
      <c r="AG10" s="8"/>
      <c r="AH10" s="8"/>
    </row>
    <row r="11" spans="1:34" s="33" customFormat="1" ht="18.75" x14ac:dyDescent="0.3">
      <c r="A11" s="39" t="s">
        <v>12</v>
      </c>
      <c r="B11" s="165">
        <f>B10-(B10*0.195)</f>
        <v>3647.1131506849306</v>
      </c>
      <c r="C11" s="166"/>
      <c r="D11" s="167"/>
      <c r="E11" s="40"/>
      <c r="F11" s="40"/>
      <c r="G11" s="40"/>
      <c r="H11" s="41"/>
      <c r="K11" s="26"/>
      <c r="L11" s="22"/>
      <c r="U11" s="35"/>
      <c r="V11" s="42" t="s">
        <v>12</v>
      </c>
      <c r="W11" s="168">
        <f>W10-(W10*0.195)</f>
        <v>1.3724590163934427E-2</v>
      </c>
      <c r="X11" s="168"/>
      <c r="Y11" s="43"/>
      <c r="Z11" s="43"/>
      <c r="AA11" s="44"/>
      <c r="AB11" s="38"/>
      <c r="AC11" s="8"/>
      <c r="AD11" s="8"/>
      <c r="AE11" s="8"/>
      <c r="AF11" s="8"/>
      <c r="AG11" s="8"/>
      <c r="AH11" s="8"/>
    </row>
    <row r="12" spans="1:34" ht="18.75" x14ac:dyDescent="0.3">
      <c r="A12" s="27"/>
      <c r="B12" s="27"/>
      <c r="C12" s="45"/>
      <c r="D12" s="10"/>
      <c r="E12" s="10"/>
      <c r="F12" s="10"/>
      <c r="G12" s="10"/>
      <c r="H12" s="11"/>
      <c r="K12" s="26"/>
      <c r="L12" s="22"/>
      <c r="U12" s="13"/>
      <c r="V12" s="46"/>
      <c r="W12" s="47"/>
      <c r="X12" s="48"/>
      <c r="Y12" s="48"/>
      <c r="Z12" s="48"/>
      <c r="AA12" s="48"/>
      <c r="AB12" s="48"/>
    </row>
    <row r="13" spans="1:34" s="51" customFormat="1" ht="18.75" x14ac:dyDescent="0.3">
      <c r="A13" s="155" t="s">
        <v>13</v>
      </c>
      <c r="B13" s="156"/>
      <c r="C13" s="156"/>
      <c r="D13" s="156"/>
      <c r="E13" s="157"/>
      <c r="F13" s="49"/>
      <c r="G13" s="49"/>
      <c r="H13" s="50"/>
      <c r="K13" s="52" t="s">
        <v>1</v>
      </c>
      <c r="L13" s="53"/>
      <c r="U13" s="54"/>
      <c r="V13" s="158" t="s">
        <v>13</v>
      </c>
      <c r="W13" s="158"/>
      <c r="X13" s="158"/>
      <c r="Y13" s="140"/>
      <c r="Z13" s="140"/>
      <c r="AA13" s="140"/>
      <c r="AB13" s="56"/>
      <c r="AC13" s="57"/>
      <c r="AD13" s="57"/>
      <c r="AE13" s="57"/>
      <c r="AF13" s="57"/>
      <c r="AG13" s="57"/>
      <c r="AH13" s="57"/>
    </row>
    <row r="14" spans="1:34" s="65" customFormat="1" ht="21" customHeight="1" x14ac:dyDescent="0.3">
      <c r="A14" s="58" t="s">
        <v>14</v>
      </c>
      <c r="B14" s="59" t="s">
        <v>15</v>
      </c>
      <c r="C14" s="60"/>
      <c r="D14" s="61" t="s">
        <v>6</v>
      </c>
      <c r="E14" s="62" t="s">
        <v>16</v>
      </c>
      <c r="F14" s="63" t="s">
        <v>17</v>
      </c>
      <c r="G14" s="63" t="s">
        <v>18</v>
      </c>
      <c r="H14" s="64"/>
      <c r="K14" s="66" t="s">
        <v>36</v>
      </c>
      <c r="L14" s="67">
        <f>K7+AA32</f>
        <v>300.02621311475411</v>
      </c>
      <c r="U14" s="68"/>
      <c r="V14" s="140" t="s">
        <v>14</v>
      </c>
      <c r="W14" s="63" t="s">
        <v>19</v>
      </c>
      <c r="X14" s="63" t="s">
        <v>16</v>
      </c>
      <c r="Y14" s="63" t="s">
        <v>31</v>
      </c>
      <c r="Z14" s="63" t="s">
        <v>30</v>
      </c>
      <c r="AA14" s="63" t="s">
        <v>18</v>
      </c>
      <c r="AB14" s="69"/>
      <c r="AC14" s="70"/>
      <c r="AD14" s="70"/>
      <c r="AE14" s="70"/>
      <c r="AF14" s="70"/>
      <c r="AG14" s="70"/>
      <c r="AH14" s="70"/>
    </row>
    <row r="15" spans="1:34" s="76" customFormat="1" ht="18.75" x14ac:dyDescent="0.3">
      <c r="A15" s="71">
        <f>B6</f>
        <v>43654</v>
      </c>
      <c r="B15" s="72"/>
      <c r="C15" s="28"/>
      <c r="D15" s="141"/>
      <c r="E15" s="141"/>
      <c r="F15" s="74"/>
      <c r="G15" s="74"/>
      <c r="H15" s="75"/>
      <c r="K15" s="77" t="s">
        <v>35</v>
      </c>
      <c r="L15" s="78">
        <f>W3</f>
        <v>1E-4</v>
      </c>
      <c r="U15" s="79"/>
      <c r="V15" s="80">
        <f>W6</f>
        <v>43831</v>
      </c>
      <c r="W15" s="81"/>
      <c r="X15" s="81"/>
      <c r="Y15" s="81"/>
      <c r="Z15" s="81"/>
      <c r="AA15" s="81"/>
      <c r="AB15" s="82"/>
      <c r="AC15" s="83"/>
      <c r="AD15" s="83"/>
      <c r="AE15" s="83"/>
      <c r="AF15" s="83"/>
      <c r="AG15" s="83"/>
      <c r="AH15" s="83"/>
    </row>
    <row r="16" spans="1:34" s="76" customFormat="1" ht="18.75" x14ac:dyDescent="0.3">
      <c r="A16" s="71">
        <f>B6</f>
        <v>43654</v>
      </c>
      <c r="B16" s="72"/>
      <c r="C16" s="28"/>
      <c r="D16" s="141"/>
      <c r="E16" s="84">
        <f>-B2</f>
        <v>-150000</v>
      </c>
      <c r="F16" s="85"/>
      <c r="G16" s="84">
        <f>-B2</f>
        <v>-150000</v>
      </c>
      <c r="H16" s="75"/>
      <c r="K16" s="77" t="s">
        <v>37</v>
      </c>
      <c r="L16" s="86">
        <f>X32</f>
        <v>3.1967213114754103E-2</v>
      </c>
      <c r="U16" s="79"/>
      <c r="V16" s="87">
        <f>W6</f>
        <v>43831</v>
      </c>
      <c r="W16" s="88"/>
      <c r="X16" s="89">
        <f>-W2</f>
        <v>-300</v>
      </c>
      <c r="Y16" s="89"/>
      <c r="Z16" s="89"/>
      <c r="AA16" s="89">
        <f>X16-Y16</f>
        <v>-300</v>
      </c>
      <c r="AB16" s="82"/>
      <c r="AC16" s="83"/>
      <c r="AD16" s="83"/>
      <c r="AE16" s="83"/>
      <c r="AF16" s="83"/>
      <c r="AG16" s="83"/>
      <c r="AH16" s="83"/>
    </row>
    <row r="17" spans="1:34" ht="18.75" x14ac:dyDescent="0.3">
      <c r="A17" s="71">
        <f>A15+30</f>
        <v>43684</v>
      </c>
      <c r="B17" s="90">
        <v>1</v>
      </c>
      <c r="C17" s="91">
        <v>30</v>
      </c>
      <c r="D17" s="92">
        <v>36.6</v>
      </c>
      <c r="E17" s="92">
        <f>(B2*B4/366*(C17-1))</f>
        <v>4350</v>
      </c>
      <c r="F17" s="93">
        <f>E17*19.5%</f>
        <v>848.25</v>
      </c>
      <c r="G17" s="94">
        <f t="shared" ref="G17:G22" si="0">E17-F17</f>
        <v>3501.75</v>
      </c>
      <c r="H17" s="11"/>
      <c r="K17" s="77" t="s">
        <v>38</v>
      </c>
      <c r="L17" s="86">
        <f>Y32</f>
        <v>5.7540983606557388E-3</v>
      </c>
      <c r="U17" s="95">
        <v>1</v>
      </c>
      <c r="V17" s="80">
        <f>V16+30</f>
        <v>43861</v>
      </c>
      <c r="W17" s="96">
        <f>V17-W6</f>
        <v>30</v>
      </c>
      <c r="X17" s="93">
        <f>($W$2*$W$3/366*(W17))</f>
        <v>2.4590163934426227E-3</v>
      </c>
      <c r="Y17" s="93">
        <f>X17*18%</f>
        <v>4.4262295081967207E-4</v>
      </c>
      <c r="Z17" s="93">
        <f>X17*1.5%</f>
        <v>3.6885245901639339E-5</v>
      </c>
      <c r="AA17" s="94">
        <f>X17-Y17-Z17</f>
        <v>1.9795081967213112E-3</v>
      </c>
      <c r="AB17" s="97"/>
    </row>
    <row r="18" spans="1:34" ht="18.75" x14ac:dyDescent="0.3">
      <c r="A18" s="71"/>
      <c r="B18" s="90"/>
      <c r="C18" s="91"/>
      <c r="D18" s="92"/>
      <c r="E18" s="92"/>
      <c r="F18" s="93"/>
      <c r="G18" s="94"/>
      <c r="H18" s="11"/>
      <c r="K18" s="77" t="s">
        <v>39</v>
      </c>
      <c r="L18" s="86">
        <f>Z32</f>
        <v>4.795081967213114E-4</v>
      </c>
      <c r="U18" s="95"/>
      <c r="V18" s="80"/>
      <c r="W18" s="96"/>
      <c r="X18" s="93"/>
      <c r="Y18" s="93"/>
      <c r="Z18" s="93"/>
      <c r="AA18" s="94"/>
      <c r="AB18" s="97"/>
    </row>
    <row r="19" spans="1:34" ht="18.75" x14ac:dyDescent="0.3">
      <c r="A19" s="71">
        <f>A17+30</f>
        <v>43714</v>
      </c>
      <c r="B19" s="90">
        <v>2</v>
      </c>
      <c r="C19" s="98">
        <f>A19-A17</f>
        <v>30</v>
      </c>
      <c r="D19" s="99">
        <v>0.36</v>
      </c>
      <c r="E19" s="99">
        <f>(B2*B5/366*(C19-1))</f>
        <v>42.786885245901644</v>
      </c>
      <c r="F19" s="93">
        <f t="shared" ref="F19:F22" si="1">E19*19.5%</f>
        <v>8.3434426229508212</v>
      </c>
      <c r="G19" s="94">
        <f t="shared" si="0"/>
        <v>34.443442622950826</v>
      </c>
      <c r="H19" s="11"/>
      <c r="K19" s="77" t="s">
        <v>40</v>
      </c>
      <c r="L19" s="86">
        <f>AA32</f>
        <v>2.6213114754098363E-2</v>
      </c>
      <c r="U19" s="100">
        <v>2</v>
      </c>
      <c r="V19" s="80">
        <f>V17+30</f>
        <v>43891</v>
      </c>
      <c r="W19" s="96">
        <f>V19-V17</f>
        <v>30</v>
      </c>
      <c r="X19" s="93">
        <f t="shared" ref="X19:X30" si="2">($W$2*$W$3/366*(W19))</f>
        <v>2.4590163934426227E-3</v>
      </c>
      <c r="Y19" s="93">
        <f>X19*18%</f>
        <v>4.4262295081967207E-4</v>
      </c>
      <c r="Z19" s="93">
        <f>X19*1.5%</f>
        <v>3.6885245901639339E-5</v>
      </c>
      <c r="AA19" s="94">
        <f>X19-Y19-Z19</f>
        <v>1.9795081967213112E-3</v>
      </c>
      <c r="AB19" s="97"/>
    </row>
    <row r="20" spans="1:34" ht="18.75" x14ac:dyDescent="0.3">
      <c r="A20" s="71">
        <f t="shared" ref="A20:A21" si="3">A19+30</f>
        <v>43744</v>
      </c>
      <c r="B20" s="90">
        <v>3</v>
      </c>
      <c r="C20" s="98">
        <f t="shared" ref="C20:C22" si="4">A20-A19</f>
        <v>30</v>
      </c>
      <c r="D20" s="99">
        <v>0.36</v>
      </c>
      <c r="E20" s="99">
        <f>(B2*B5/366*(C20-1))</f>
        <v>42.786885245901644</v>
      </c>
      <c r="F20" s="93">
        <f t="shared" si="1"/>
        <v>8.3434426229508212</v>
      </c>
      <c r="G20" s="94">
        <f t="shared" si="0"/>
        <v>34.443442622950826</v>
      </c>
      <c r="H20" s="11"/>
      <c r="K20" s="101" t="s">
        <v>41</v>
      </c>
      <c r="L20" s="102">
        <f>AB32</f>
        <v>8.6972117424011249E-5</v>
      </c>
      <c r="U20" s="100">
        <v>3</v>
      </c>
      <c r="V20" s="80">
        <f t="shared" ref="V20:V29" si="5">V19+30</f>
        <v>43921</v>
      </c>
      <c r="W20" s="96">
        <f t="shared" ref="W20:W23" si="6">V20-V19</f>
        <v>30</v>
      </c>
      <c r="X20" s="93">
        <f t="shared" si="2"/>
        <v>2.4590163934426227E-3</v>
      </c>
      <c r="Y20" s="93">
        <f t="shared" ref="Y20:Y30" si="7">X20*18%</f>
        <v>4.4262295081967207E-4</v>
      </c>
      <c r="Z20" s="93">
        <f t="shared" ref="Z20:Z30" si="8">X20*1.5%</f>
        <v>3.6885245901639339E-5</v>
      </c>
      <c r="AA20" s="94">
        <f t="shared" ref="AA20:AA30" si="9">X20-Y20-Z20</f>
        <v>1.9795081967213112E-3</v>
      </c>
      <c r="AB20" s="97"/>
    </row>
    <row r="21" spans="1:34" x14ac:dyDescent="0.25">
      <c r="A21" s="71">
        <f t="shared" si="3"/>
        <v>43774</v>
      </c>
      <c r="B21" s="90">
        <v>4</v>
      </c>
      <c r="C21" s="91">
        <f t="shared" si="4"/>
        <v>30</v>
      </c>
      <c r="D21" s="99">
        <v>0.36</v>
      </c>
      <c r="E21" s="99">
        <f>(B2*B5/366*(C21-1))</f>
        <v>42.786885245901644</v>
      </c>
      <c r="F21" s="93">
        <f t="shared" si="1"/>
        <v>8.3434426229508212</v>
      </c>
      <c r="G21" s="94">
        <f t="shared" si="0"/>
        <v>34.443442622950826</v>
      </c>
      <c r="H21" s="11"/>
      <c r="U21" s="100">
        <v>4</v>
      </c>
      <c r="V21" s="80">
        <f t="shared" si="5"/>
        <v>43951</v>
      </c>
      <c r="W21" s="96">
        <f t="shared" si="6"/>
        <v>30</v>
      </c>
      <c r="X21" s="93">
        <f t="shared" si="2"/>
        <v>2.4590163934426227E-3</v>
      </c>
      <c r="Y21" s="93">
        <f t="shared" si="7"/>
        <v>4.4262295081967207E-4</v>
      </c>
      <c r="Z21" s="93">
        <f t="shared" si="8"/>
        <v>3.6885245901639339E-5</v>
      </c>
      <c r="AA21" s="94">
        <f t="shared" si="9"/>
        <v>1.9795081967213112E-3</v>
      </c>
      <c r="AB21" s="97"/>
    </row>
    <row r="22" spans="1:34" x14ac:dyDescent="0.25">
      <c r="A22" s="71">
        <f>A21+30</f>
        <v>43804</v>
      </c>
      <c r="B22" s="90">
        <v>5</v>
      </c>
      <c r="C22" s="98">
        <f t="shared" si="4"/>
        <v>30</v>
      </c>
      <c r="D22" s="99">
        <v>0.36</v>
      </c>
      <c r="E22" s="99">
        <f>(B2*B5/365*(C22-1))</f>
        <v>42.904109589041092</v>
      </c>
      <c r="F22" s="93">
        <f t="shared" si="1"/>
        <v>8.3663013698630131</v>
      </c>
      <c r="G22" s="94">
        <f t="shared" si="0"/>
        <v>34.537808219178075</v>
      </c>
      <c r="H22" s="11"/>
      <c r="U22" s="100">
        <v>5</v>
      </c>
      <c r="V22" s="80">
        <f t="shared" si="5"/>
        <v>43981</v>
      </c>
      <c r="W22" s="96">
        <f t="shared" si="6"/>
        <v>30</v>
      </c>
      <c r="X22" s="93">
        <f t="shared" si="2"/>
        <v>2.4590163934426227E-3</v>
      </c>
      <c r="Y22" s="93">
        <f t="shared" si="7"/>
        <v>4.4262295081967207E-4</v>
      </c>
      <c r="Z22" s="93">
        <f t="shared" si="8"/>
        <v>3.6885245901639339E-5</v>
      </c>
      <c r="AA22" s="94">
        <f t="shared" si="9"/>
        <v>1.9795081967213112E-3</v>
      </c>
      <c r="AB22" s="97"/>
    </row>
    <row r="23" spans="1:34" x14ac:dyDescent="0.25">
      <c r="A23" s="71">
        <f>B6+150</f>
        <v>43804</v>
      </c>
      <c r="B23" s="90"/>
      <c r="C23" s="98"/>
      <c r="D23" s="99"/>
      <c r="E23" s="99">
        <f>B2</f>
        <v>150000</v>
      </c>
      <c r="F23" s="103"/>
      <c r="G23" s="103"/>
      <c r="H23" s="104" t="e">
        <f>XIRR(E7:E22,A7:A22)</f>
        <v>#VALUE!</v>
      </c>
      <c r="U23" s="100">
        <v>6</v>
      </c>
      <c r="V23" s="80">
        <f t="shared" si="5"/>
        <v>44011</v>
      </c>
      <c r="W23" s="96">
        <f t="shared" si="6"/>
        <v>30</v>
      </c>
      <c r="X23" s="93">
        <f>($W$2*$W$3/366*(W23))</f>
        <v>2.4590163934426227E-3</v>
      </c>
      <c r="Y23" s="93">
        <f t="shared" si="7"/>
        <v>4.4262295081967207E-4</v>
      </c>
      <c r="Z23" s="93">
        <f t="shared" si="8"/>
        <v>3.6885245901639339E-5</v>
      </c>
      <c r="AA23" s="94">
        <f t="shared" si="9"/>
        <v>1.9795081967213112E-3</v>
      </c>
      <c r="AB23" s="97"/>
    </row>
    <row r="24" spans="1:34" x14ac:dyDescent="0.25">
      <c r="A24" s="105" t="s">
        <v>0</v>
      </c>
      <c r="B24" s="90"/>
      <c r="C24" s="91"/>
      <c r="D24" s="99"/>
      <c r="E24" s="99"/>
      <c r="F24" s="103"/>
      <c r="G24" s="103"/>
      <c r="H24" s="104"/>
      <c r="U24" s="100">
        <v>7</v>
      </c>
      <c r="V24" s="80">
        <f t="shared" si="5"/>
        <v>44041</v>
      </c>
      <c r="W24" s="96">
        <f>W7-(SUM(W17:W23))</f>
        <v>30</v>
      </c>
      <c r="X24" s="93">
        <f t="shared" si="2"/>
        <v>2.4590163934426227E-3</v>
      </c>
      <c r="Y24" s="93">
        <f t="shared" si="7"/>
        <v>4.4262295081967207E-4</v>
      </c>
      <c r="Z24" s="93">
        <f t="shared" si="8"/>
        <v>3.6885245901639339E-5</v>
      </c>
      <c r="AA24" s="94">
        <f t="shared" si="9"/>
        <v>1.9795081967213112E-3</v>
      </c>
      <c r="AB24" s="97"/>
    </row>
    <row r="25" spans="1:34" x14ac:dyDescent="0.25">
      <c r="A25" s="71"/>
      <c r="B25" s="106"/>
      <c r="C25" s="91"/>
      <c r="D25" s="99"/>
      <c r="E25" s="99"/>
      <c r="F25" s="103"/>
      <c r="G25" s="103"/>
      <c r="H25" s="11"/>
      <c r="U25" s="107"/>
      <c r="V25" s="80">
        <f t="shared" si="5"/>
        <v>44071</v>
      </c>
      <c r="W25" s="96">
        <v>30</v>
      </c>
      <c r="X25" s="93">
        <f t="shared" si="2"/>
        <v>2.4590163934426227E-3</v>
      </c>
      <c r="Y25" s="93">
        <f t="shared" si="7"/>
        <v>4.4262295081967207E-4</v>
      </c>
      <c r="Z25" s="93">
        <f t="shared" si="8"/>
        <v>3.6885245901639339E-5</v>
      </c>
      <c r="AA25" s="94">
        <f t="shared" si="9"/>
        <v>1.9795081967213112E-3</v>
      </c>
      <c r="AB25" s="97"/>
    </row>
    <row r="26" spans="1:34" x14ac:dyDescent="0.25">
      <c r="A26" s="71"/>
      <c r="B26" s="106"/>
      <c r="C26" s="91"/>
      <c r="D26" s="99"/>
      <c r="E26" s="99"/>
      <c r="F26" s="103"/>
      <c r="G26" s="103"/>
      <c r="H26" s="11"/>
      <c r="U26" s="107"/>
      <c r="V26" s="80">
        <f t="shared" si="5"/>
        <v>44101</v>
      </c>
      <c r="W26" s="96">
        <v>30</v>
      </c>
      <c r="X26" s="93">
        <f t="shared" si="2"/>
        <v>2.4590163934426227E-3</v>
      </c>
      <c r="Y26" s="93">
        <f t="shared" si="7"/>
        <v>4.4262295081967207E-4</v>
      </c>
      <c r="Z26" s="93">
        <f t="shared" si="8"/>
        <v>3.6885245901639339E-5</v>
      </c>
      <c r="AA26" s="94">
        <f t="shared" si="9"/>
        <v>1.9795081967213112E-3</v>
      </c>
      <c r="AB26" s="97"/>
    </row>
    <row r="27" spans="1:34" x14ac:dyDescent="0.25">
      <c r="A27" s="71"/>
      <c r="B27" s="106"/>
      <c r="C27" s="91"/>
      <c r="D27" s="99"/>
      <c r="E27" s="99"/>
      <c r="F27" s="103"/>
      <c r="G27" s="103"/>
      <c r="H27" s="11"/>
      <c r="U27" s="107"/>
      <c r="V27" s="80">
        <f t="shared" si="5"/>
        <v>44131</v>
      </c>
      <c r="W27" s="96">
        <v>30</v>
      </c>
      <c r="X27" s="93">
        <f t="shared" si="2"/>
        <v>2.4590163934426227E-3</v>
      </c>
      <c r="Y27" s="93">
        <f t="shared" si="7"/>
        <v>4.4262295081967207E-4</v>
      </c>
      <c r="Z27" s="93">
        <f t="shared" si="8"/>
        <v>3.6885245901639339E-5</v>
      </c>
      <c r="AA27" s="94">
        <f t="shared" si="9"/>
        <v>1.9795081967213112E-3</v>
      </c>
      <c r="AB27" s="97"/>
    </row>
    <row r="28" spans="1:34" x14ac:dyDescent="0.25">
      <c r="A28" s="71"/>
      <c r="B28" s="106"/>
      <c r="C28" s="91"/>
      <c r="D28" s="99"/>
      <c r="E28" s="99"/>
      <c r="F28" s="103"/>
      <c r="G28" s="103"/>
      <c r="H28" s="11"/>
      <c r="U28" s="107"/>
      <c r="V28" s="80">
        <f t="shared" si="5"/>
        <v>44161</v>
      </c>
      <c r="W28" s="96">
        <v>30</v>
      </c>
      <c r="X28" s="93">
        <f t="shared" si="2"/>
        <v>2.4590163934426227E-3</v>
      </c>
      <c r="Y28" s="93">
        <f t="shared" si="7"/>
        <v>4.4262295081967207E-4</v>
      </c>
      <c r="Z28" s="93">
        <f t="shared" si="8"/>
        <v>3.6885245901639339E-5</v>
      </c>
      <c r="AA28" s="94">
        <f t="shared" si="9"/>
        <v>1.9795081967213112E-3</v>
      </c>
      <c r="AB28" s="97"/>
    </row>
    <row r="29" spans="1:34" x14ac:dyDescent="0.25">
      <c r="A29" s="71"/>
      <c r="B29" s="106"/>
      <c r="C29" s="91"/>
      <c r="D29" s="99"/>
      <c r="E29" s="99"/>
      <c r="F29" s="103"/>
      <c r="G29" s="103"/>
      <c r="H29" s="11"/>
      <c r="U29" s="107"/>
      <c r="V29" s="80">
        <f t="shared" si="5"/>
        <v>44191</v>
      </c>
      <c r="W29" s="96">
        <v>30</v>
      </c>
      <c r="X29" s="93">
        <f t="shared" si="2"/>
        <v>2.4590163934426227E-3</v>
      </c>
      <c r="Y29" s="93">
        <f t="shared" si="7"/>
        <v>4.4262295081967207E-4</v>
      </c>
      <c r="Z29" s="93">
        <f t="shared" si="8"/>
        <v>3.6885245901639339E-5</v>
      </c>
      <c r="AA29" s="94">
        <f t="shared" si="9"/>
        <v>1.9795081967213112E-3</v>
      </c>
      <c r="AB29" s="97"/>
    </row>
    <row r="30" spans="1:34" x14ac:dyDescent="0.25">
      <c r="A30" s="71"/>
      <c r="B30" s="106"/>
      <c r="C30" s="91"/>
      <c r="D30" s="99"/>
      <c r="E30" s="99"/>
      <c r="F30" s="103"/>
      <c r="G30" s="103"/>
      <c r="H30" s="11"/>
      <c r="U30" s="107"/>
      <c r="V30" s="80">
        <f>V29+30</f>
        <v>44221</v>
      </c>
      <c r="W30" s="96">
        <v>30</v>
      </c>
      <c r="X30" s="93">
        <f t="shared" si="2"/>
        <v>2.4590163934426227E-3</v>
      </c>
      <c r="Y30" s="93">
        <f t="shared" si="7"/>
        <v>4.4262295081967207E-4</v>
      </c>
      <c r="Z30" s="93">
        <f t="shared" si="8"/>
        <v>3.6885245901639339E-5</v>
      </c>
      <c r="AA30" s="94">
        <f t="shared" si="9"/>
        <v>1.9795081967213112E-3</v>
      </c>
      <c r="AB30" s="97"/>
    </row>
    <row r="31" spans="1:34" x14ac:dyDescent="0.25">
      <c r="A31" s="71"/>
      <c r="B31" s="106"/>
      <c r="C31" s="91"/>
      <c r="D31" s="99"/>
      <c r="E31" s="99"/>
      <c r="F31" s="103"/>
      <c r="G31" s="103"/>
      <c r="H31" s="11"/>
      <c r="U31" s="107"/>
      <c r="V31" s="87">
        <f>W6+W32</f>
        <v>44191</v>
      </c>
      <c r="W31" s="108"/>
      <c r="X31" s="109">
        <f>W2</f>
        <v>300</v>
      </c>
      <c r="Y31" s="109"/>
      <c r="Z31" s="93"/>
      <c r="AA31" s="94">
        <f>X31-Y31-Z31</f>
        <v>300</v>
      </c>
      <c r="AB31" s="97"/>
    </row>
    <row r="32" spans="1:34" s="112" customFormat="1" x14ac:dyDescent="0.25">
      <c r="A32" s="105" t="s">
        <v>0</v>
      </c>
      <c r="B32" s="59"/>
      <c r="C32" s="110">
        <f>SUM(C17:C24)</f>
        <v>150</v>
      </c>
      <c r="D32" s="92">
        <f>AVERAGE(D17:D24)</f>
        <v>7.6079999999999997</v>
      </c>
      <c r="E32" s="92">
        <f>SUM(E17:E24)</f>
        <v>154521.26476532675</v>
      </c>
      <c r="F32" s="111"/>
      <c r="G32" s="111"/>
      <c r="H32" s="104" t="e">
        <f>XIRR(E16:E31,A16:A31)</f>
        <v>#VALUE!</v>
      </c>
      <c r="U32" s="113"/>
      <c r="V32" s="140" t="s">
        <v>0</v>
      </c>
      <c r="W32" s="114">
        <f>W8*30</f>
        <v>360</v>
      </c>
      <c r="X32" s="115">
        <f>SUM(X17:X30)</f>
        <v>3.1967213114754103E-2</v>
      </c>
      <c r="Y32" s="115">
        <f>SUM(Y17:Y30)</f>
        <v>5.7540983606557388E-3</v>
      </c>
      <c r="Z32" s="115">
        <f>SUM(Z17:Z30)</f>
        <v>4.795081967213114E-4</v>
      </c>
      <c r="AA32" s="115">
        <f>X32-Y32</f>
        <v>2.6213114754098363E-2</v>
      </c>
      <c r="AB32" s="104">
        <f>XIRR(AA16:AA31,V16:V31)</f>
        <v>8.6972117424011249E-5</v>
      </c>
      <c r="AC32" s="116"/>
      <c r="AD32" s="116"/>
      <c r="AE32" s="116"/>
      <c r="AF32" s="116"/>
      <c r="AG32" s="116"/>
      <c r="AH32" s="116"/>
    </row>
    <row r="33" spans="1:34" x14ac:dyDescent="0.25">
      <c r="A33" s="10"/>
      <c r="B33" s="10"/>
      <c r="C33" s="117"/>
      <c r="D33" s="10"/>
      <c r="E33" s="10"/>
      <c r="F33" s="10"/>
      <c r="G33" s="10"/>
      <c r="H33" s="11"/>
      <c r="U33" s="13"/>
      <c r="V33" s="16"/>
      <c r="W33" s="16"/>
      <c r="X33" s="16"/>
      <c r="Y33" s="16"/>
      <c r="Z33" s="16"/>
      <c r="AA33" s="16"/>
      <c r="AB33" s="16"/>
    </row>
    <row r="34" spans="1:34" x14ac:dyDescent="0.25">
      <c r="A34" s="10"/>
      <c r="B34" s="10"/>
      <c r="C34" s="117"/>
      <c r="D34" s="10"/>
      <c r="E34" s="10"/>
      <c r="F34" s="10"/>
      <c r="G34" s="10"/>
      <c r="H34" s="11"/>
      <c r="U34" s="13"/>
      <c r="V34" s="16"/>
      <c r="W34" s="16"/>
      <c r="X34" s="16"/>
      <c r="Y34" s="16"/>
      <c r="Z34" s="16"/>
      <c r="AA34" s="16"/>
      <c r="AB34" s="16"/>
    </row>
    <row r="35" spans="1:34" x14ac:dyDescent="0.25">
      <c r="A35" s="159" t="s">
        <v>20</v>
      </c>
      <c r="B35" s="152"/>
      <c r="C35" s="152"/>
      <c r="D35" s="152"/>
      <c r="E35" s="138"/>
      <c r="F35" s="138"/>
      <c r="G35" s="138"/>
      <c r="H35" s="11"/>
      <c r="U35" s="119"/>
      <c r="V35" s="160" t="s">
        <v>20</v>
      </c>
      <c r="W35" s="153"/>
      <c r="X35" s="153"/>
      <c r="Y35" s="139"/>
      <c r="Z35" s="139"/>
      <c r="AA35" s="139"/>
      <c r="AB35" s="16"/>
    </row>
    <row r="36" spans="1:34" s="122" customFormat="1" x14ac:dyDescent="0.25">
      <c r="A36" s="152" t="s">
        <v>21</v>
      </c>
      <c r="B36" s="152"/>
      <c r="C36" s="152"/>
      <c r="D36" s="152"/>
      <c r="E36" s="138"/>
      <c r="F36" s="138"/>
      <c r="G36" s="138"/>
      <c r="H36" s="121"/>
      <c r="U36" s="123"/>
      <c r="V36" s="153" t="s">
        <v>21</v>
      </c>
      <c r="W36" s="153"/>
      <c r="X36" s="153"/>
      <c r="Y36" s="139"/>
      <c r="Z36" s="139"/>
      <c r="AA36" s="139"/>
      <c r="AB36" s="124"/>
      <c r="AC36" s="125"/>
      <c r="AD36" s="125"/>
      <c r="AE36" s="125"/>
      <c r="AF36" s="125"/>
      <c r="AG36" s="125"/>
      <c r="AH36" s="125"/>
    </row>
    <row r="37" spans="1:34" x14ac:dyDescent="0.25">
      <c r="A37" s="10"/>
      <c r="B37" s="10"/>
      <c r="C37" s="117"/>
      <c r="D37" s="10"/>
      <c r="E37" s="10"/>
      <c r="F37" s="10"/>
      <c r="G37" s="10"/>
      <c r="H37" s="11"/>
      <c r="U37" s="126"/>
      <c r="V37" s="127"/>
      <c r="W37" s="127"/>
      <c r="X37" s="16"/>
      <c r="Y37" s="16"/>
      <c r="Z37" s="16"/>
      <c r="AA37" s="16"/>
      <c r="AB37" s="16"/>
    </row>
    <row r="38" spans="1:34" x14ac:dyDescent="0.25">
      <c r="A38" s="10"/>
      <c r="B38" s="10"/>
      <c r="C38" s="117"/>
      <c r="D38" s="10"/>
      <c r="E38" s="10"/>
      <c r="F38" s="10"/>
      <c r="G38" s="10"/>
      <c r="H38" s="11"/>
      <c r="U38" s="126"/>
      <c r="V38" s="127"/>
      <c r="W38" s="127"/>
      <c r="X38" s="16"/>
      <c r="Y38" s="16"/>
      <c r="Z38" s="16"/>
      <c r="AA38" s="16"/>
      <c r="AB38" s="16"/>
    </row>
    <row r="39" spans="1:34" x14ac:dyDescent="0.25">
      <c r="A39" s="10"/>
      <c r="B39" s="10"/>
      <c r="C39" s="117"/>
      <c r="D39" s="10"/>
      <c r="E39" s="10"/>
      <c r="F39" s="10"/>
      <c r="G39" s="10"/>
      <c r="H39" s="11"/>
      <c r="U39" s="126"/>
      <c r="V39" s="127"/>
      <c r="W39" s="127"/>
      <c r="X39" s="16"/>
      <c r="Y39" s="16"/>
      <c r="Z39" s="16"/>
      <c r="AA39" s="16"/>
      <c r="AB39" s="16"/>
    </row>
    <row r="40" spans="1:34" x14ac:dyDescent="0.25">
      <c r="A40" s="10"/>
      <c r="B40" s="10"/>
      <c r="C40" s="117"/>
      <c r="D40" s="10"/>
      <c r="E40" s="10"/>
      <c r="F40" s="10"/>
      <c r="G40" s="10"/>
      <c r="H40" s="11"/>
      <c r="U40" s="126"/>
      <c r="V40" s="127"/>
      <c r="W40" s="127"/>
      <c r="X40" s="16"/>
      <c r="Y40" s="16"/>
      <c r="Z40" s="16"/>
      <c r="AA40" s="16"/>
      <c r="AB40" s="16"/>
    </row>
    <row r="41" spans="1:34" x14ac:dyDescent="0.25">
      <c r="A41" s="10"/>
      <c r="B41" s="10"/>
      <c r="C41" s="117"/>
      <c r="D41" s="10"/>
      <c r="E41" s="10"/>
      <c r="F41" s="10"/>
      <c r="G41" s="10"/>
      <c r="H41" s="11"/>
      <c r="U41" s="126"/>
      <c r="V41" s="127"/>
      <c r="W41" s="127"/>
      <c r="X41" s="16"/>
      <c r="Y41" s="16"/>
      <c r="Z41" s="16"/>
      <c r="AA41" s="16"/>
      <c r="AB41" s="16"/>
    </row>
    <row r="42" spans="1:34" x14ac:dyDescent="0.25">
      <c r="A42" s="10"/>
      <c r="B42" s="10"/>
      <c r="C42" s="117"/>
      <c r="D42" s="10"/>
      <c r="E42" s="10"/>
      <c r="F42" s="10"/>
      <c r="G42" s="10"/>
      <c r="H42" s="11"/>
      <c r="U42" s="126"/>
      <c r="V42" s="127"/>
      <c r="W42" s="127"/>
      <c r="X42" s="16"/>
      <c r="Y42" s="16"/>
      <c r="Z42" s="16"/>
      <c r="AA42" s="16"/>
      <c r="AB42" s="16"/>
    </row>
    <row r="43" spans="1:34" x14ac:dyDescent="0.25">
      <c r="A43" s="10"/>
      <c r="B43" s="10"/>
      <c r="C43" s="117"/>
      <c r="D43" s="10"/>
      <c r="E43" s="10"/>
      <c r="F43" s="10"/>
      <c r="G43" s="10"/>
      <c r="H43" s="11"/>
      <c r="U43" s="126"/>
      <c r="V43" s="127"/>
      <c r="W43" s="127"/>
      <c r="X43" s="16"/>
      <c r="Y43" s="16"/>
      <c r="Z43" s="16"/>
      <c r="AA43" s="16"/>
      <c r="AB43" s="16"/>
    </row>
    <row r="44" spans="1:34" x14ac:dyDescent="0.25">
      <c r="A44" s="10"/>
      <c r="B44" s="10"/>
      <c r="C44" s="117"/>
      <c r="D44" s="10"/>
      <c r="E44" s="10"/>
      <c r="F44" s="10"/>
      <c r="G44" s="10"/>
      <c r="H44" s="11"/>
      <c r="U44" s="126"/>
      <c r="V44" s="127"/>
      <c r="W44" s="127"/>
      <c r="X44" s="16"/>
      <c r="Y44" s="16"/>
      <c r="Z44" s="16"/>
      <c r="AA44" s="16"/>
      <c r="AB44" s="16"/>
    </row>
    <row r="45" spans="1:34" x14ac:dyDescent="0.25">
      <c r="A45" s="10"/>
      <c r="B45" s="10"/>
      <c r="C45" s="117"/>
      <c r="D45" s="10"/>
      <c r="E45" s="10"/>
      <c r="F45" s="10"/>
      <c r="G45" s="10"/>
      <c r="H45" s="11"/>
      <c r="U45" s="126"/>
      <c r="V45" s="127"/>
      <c r="W45" s="127"/>
      <c r="X45" s="16"/>
      <c r="Y45" s="16"/>
      <c r="Z45" s="16"/>
      <c r="AA45" s="16"/>
      <c r="AB45" s="16"/>
    </row>
    <row r="46" spans="1:34" x14ac:dyDescent="0.25">
      <c r="A46" s="10"/>
      <c r="B46" s="10"/>
      <c r="C46" s="117"/>
      <c r="D46" s="10"/>
      <c r="E46" s="10"/>
      <c r="F46" s="10"/>
      <c r="G46" s="10"/>
      <c r="H46" s="11"/>
      <c r="U46" s="126"/>
      <c r="V46" s="127"/>
      <c r="W46" s="127"/>
      <c r="X46" s="16"/>
      <c r="Y46" s="16"/>
      <c r="Z46" s="16"/>
      <c r="AA46" s="16"/>
      <c r="AB46" s="16"/>
    </row>
    <row r="47" spans="1:34" x14ac:dyDescent="0.25">
      <c r="A47" s="10"/>
      <c r="B47" s="10"/>
      <c r="C47" s="117"/>
      <c r="D47" s="10"/>
      <c r="E47" s="10"/>
      <c r="F47" s="10"/>
      <c r="G47" s="10"/>
      <c r="H47" s="11"/>
      <c r="U47" s="126"/>
      <c r="V47" s="127"/>
      <c r="W47" s="127"/>
      <c r="X47" s="16"/>
      <c r="Y47" s="16"/>
      <c r="Z47" s="16"/>
      <c r="AA47" s="16"/>
      <c r="AB47" s="16"/>
    </row>
    <row r="48" spans="1:34" x14ac:dyDescent="0.25">
      <c r="A48" s="10"/>
      <c r="B48" s="10"/>
      <c r="C48" s="117"/>
      <c r="D48" s="10"/>
      <c r="E48" s="10"/>
      <c r="F48" s="10"/>
      <c r="G48" s="10"/>
      <c r="H48" s="11"/>
      <c r="U48" s="126"/>
      <c r="V48" s="127"/>
      <c r="W48" s="127"/>
      <c r="X48" s="16"/>
      <c r="Y48" s="16"/>
      <c r="Z48" s="16"/>
      <c r="AA48" s="16"/>
      <c r="AB48" s="16"/>
    </row>
    <row r="49" spans="1:28" x14ac:dyDescent="0.25">
      <c r="A49" s="10"/>
      <c r="B49" s="10"/>
      <c r="C49" s="117"/>
      <c r="D49" s="10"/>
      <c r="E49" s="10"/>
      <c r="F49" s="10"/>
      <c r="G49" s="10"/>
      <c r="H49" s="11"/>
      <c r="U49" s="126"/>
      <c r="V49" s="127"/>
      <c r="W49" s="127"/>
      <c r="X49" s="127"/>
      <c r="Y49" s="127"/>
      <c r="Z49" s="127"/>
      <c r="AA49" s="127"/>
      <c r="AB49" s="127"/>
    </row>
    <row r="50" spans="1:28" x14ac:dyDescent="0.25">
      <c r="A50" s="10"/>
      <c r="B50" s="10"/>
      <c r="C50" s="117"/>
      <c r="D50" s="10"/>
      <c r="E50" s="10"/>
      <c r="F50" s="10"/>
      <c r="G50" s="10"/>
      <c r="H50" s="11"/>
      <c r="U50" s="126"/>
      <c r="V50" s="127"/>
      <c r="W50" s="127"/>
      <c r="X50" s="127"/>
      <c r="Y50" s="127"/>
      <c r="Z50" s="127"/>
      <c r="AA50" s="127"/>
      <c r="AB50" s="127"/>
    </row>
    <row r="51" spans="1:28" ht="15.75" thickBot="1" x14ac:dyDescent="0.3">
      <c r="A51" s="128"/>
      <c r="B51" s="128"/>
      <c r="C51" s="129"/>
      <c r="D51" s="128"/>
      <c r="E51" s="128"/>
      <c r="F51" s="128"/>
      <c r="G51" s="128"/>
      <c r="H51" s="130"/>
      <c r="U51" s="131"/>
      <c r="V51" s="132"/>
      <c r="W51" s="132"/>
      <c r="X51" s="132"/>
      <c r="Y51" s="132"/>
      <c r="Z51" s="132"/>
      <c r="AA51" s="132"/>
      <c r="AB51" s="132"/>
    </row>
  </sheetData>
  <sheetProtection algorithmName="SHA-512" hashValue="GdHpK0/Y2rQoIUo51zMTp4KMv9d09KVMBaWhh+wYlOuJODlXsDc88EYYzW7CjiTArhzXOztxs4/IxT1gb35/zA==" saltValue="pVVeLtLALZhXDilKw5uzng==" spinCount="100000" sheet="1" formatCells="0" formatColumns="0" formatRows="0" insertColumns="0" insertRows="0" insertHyperlinks="0" deleteColumns="0" deleteRows="0" sort="0" autoFilter="0" pivotTables="0"/>
  <mergeCells count="22">
    <mergeCell ref="A1:E1"/>
    <mergeCell ref="V1:X1"/>
    <mergeCell ref="B2:C2"/>
    <mergeCell ref="K2:L2"/>
    <mergeCell ref="A3:C3"/>
    <mergeCell ref="K3:L3"/>
    <mergeCell ref="V3:V5"/>
    <mergeCell ref="W3:W5"/>
    <mergeCell ref="B4:C4"/>
    <mergeCell ref="B5:C5"/>
    <mergeCell ref="B6:C6"/>
    <mergeCell ref="B8:C8"/>
    <mergeCell ref="B10:D10"/>
    <mergeCell ref="W10:X10"/>
    <mergeCell ref="B11:D11"/>
    <mergeCell ref="W11:X11"/>
    <mergeCell ref="A13:E13"/>
    <mergeCell ref="V13:X13"/>
    <mergeCell ref="A35:D35"/>
    <mergeCell ref="V35:X35"/>
    <mergeCell ref="A36:D36"/>
    <mergeCell ref="V36:X36"/>
  </mergeCells>
  <dataValidations count="5">
    <dataValidation type="whole" allowBlank="1" showInputMessage="1" showErrorMessage="1" sqref="K10">
      <formula1>12</formula1>
      <formula2>12</formula2>
    </dataValidation>
    <dataValidation type="list" allowBlank="1" showInputMessage="1" showErrorMessage="1" sqref="C7">
      <formula1>"210"</formula1>
    </dataValidation>
    <dataValidation allowBlank="1" showInputMessage="1" showErrorMessage="1" error="Сума депозиту не відповідає умовам продукту" sqref="W2"/>
    <dataValidation type="whole" operator="greaterThanOrEqual" allowBlank="1" showInputMessage="1" showErrorMessage="1" error="Сума депозиту не відповідає умовам продукту" sqref="B2:C2">
      <formula1>5000</formula1>
    </dataValidation>
    <dataValidation type="whole" allowBlank="1" showInputMessage="1" showErrorMessage="1" sqref="K7">
      <formula1>20</formula1>
      <formula2>88888888888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W8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abSelected="1" topLeftCell="J1" zoomScale="93" zoomScaleNormal="93" workbookViewId="0">
      <selection activeCell="K8" sqref="K8"/>
    </sheetView>
  </sheetViews>
  <sheetFormatPr defaultRowHeight="15" x14ac:dyDescent="0.25"/>
  <cols>
    <col min="1" max="1" width="39.5703125" style="12" hidden="1" customWidth="1"/>
    <col min="2" max="2" width="18.42578125" style="12" hidden="1" customWidth="1"/>
    <col min="3" max="3" width="5.7109375" style="133" hidden="1" customWidth="1"/>
    <col min="4" max="4" width="16.7109375" style="12" hidden="1" customWidth="1"/>
    <col min="5" max="6" width="16.28515625" style="12" hidden="1" customWidth="1"/>
    <col min="7" max="7" width="20.5703125" style="12" hidden="1" customWidth="1"/>
    <col min="8" max="9" width="9.140625" style="12" hidden="1" customWidth="1"/>
    <col min="10" max="10" width="9.140625" style="12"/>
    <col min="11" max="11" width="78.85546875" style="12" bestFit="1" customWidth="1"/>
    <col min="12" max="12" width="16.7109375" style="12" customWidth="1"/>
    <col min="13" max="14" width="9.140625" style="12"/>
    <col min="15" max="20" width="9.140625" style="12" customWidth="1"/>
    <col min="21" max="21" width="10.85546875" style="17" hidden="1" customWidth="1"/>
    <col min="22" max="22" width="39.42578125" style="17" hidden="1" customWidth="1"/>
    <col min="23" max="23" width="17.42578125" style="17" hidden="1" customWidth="1"/>
    <col min="24" max="24" width="16.85546875" style="17" hidden="1" customWidth="1"/>
    <col min="25" max="26" width="22.140625" style="17" hidden="1" customWidth="1"/>
    <col min="27" max="27" width="18.7109375" style="17" hidden="1" customWidth="1"/>
    <col min="28" max="28" width="10.5703125" style="17" hidden="1" customWidth="1"/>
    <col min="29" max="30" width="9.140625" style="17" hidden="1" customWidth="1"/>
    <col min="31" max="31" width="15.5703125" style="17" hidden="1" customWidth="1"/>
    <col min="32" max="33" width="9.140625" style="17" hidden="1" customWidth="1"/>
    <col min="34" max="34" width="9.140625" style="17" customWidth="1"/>
    <col min="35" max="42" width="9.140625" style="12" customWidth="1"/>
    <col min="43" max="16384" width="9.140625" style="12"/>
  </cols>
  <sheetData>
    <row r="1" spans="1:34" s="4" customFormat="1" ht="18.75" x14ac:dyDescent="0.2">
      <c r="A1" s="142" t="s">
        <v>2</v>
      </c>
      <c r="B1" s="142"/>
      <c r="C1" s="142"/>
      <c r="D1" s="142"/>
      <c r="E1" s="142"/>
      <c r="F1" s="135"/>
      <c r="G1" s="135"/>
      <c r="H1" s="3"/>
      <c r="U1" s="5"/>
      <c r="V1" s="143" t="s">
        <v>3</v>
      </c>
      <c r="W1" s="143"/>
      <c r="X1" s="143"/>
      <c r="Y1" s="136"/>
      <c r="Z1" s="136"/>
      <c r="AA1" s="136"/>
      <c r="AB1" s="7"/>
      <c r="AC1" s="8"/>
      <c r="AD1" s="8"/>
      <c r="AE1" s="8"/>
      <c r="AF1" s="8"/>
      <c r="AG1" s="8"/>
      <c r="AH1" s="8"/>
    </row>
    <row r="2" spans="1:34" ht="18.75" x14ac:dyDescent="0.3">
      <c r="A2" s="9" t="s">
        <v>4</v>
      </c>
      <c r="B2" s="144">
        <v>150000</v>
      </c>
      <c r="C2" s="144"/>
      <c r="D2" s="10"/>
      <c r="E2" s="10"/>
      <c r="F2" s="10"/>
      <c r="G2" s="10"/>
      <c r="H2" s="11"/>
      <c r="K2" s="154" t="s">
        <v>22</v>
      </c>
      <c r="L2" s="154"/>
      <c r="U2" s="13"/>
      <c r="V2" s="14" t="s">
        <v>4</v>
      </c>
      <c r="W2" s="15">
        <f>K7</f>
        <v>20</v>
      </c>
      <c r="X2" s="16"/>
      <c r="Y2" s="16"/>
      <c r="Z2" s="16"/>
      <c r="AA2" s="16"/>
      <c r="AB2" s="16"/>
    </row>
    <row r="3" spans="1:34" ht="18.75" x14ac:dyDescent="0.3">
      <c r="A3" s="145" t="s">
        <v>5</v>
      </c>
      <c r="B3" s="145"/>
      <c r="C3" s="145"/>
      <c r="D3" s="10"/>
      <c r="E3" s="10"/>
      <c r="F3" s="10"/>
      <c r="G3" s="10"/>
      <c r="H3" s="11"/>
      <c r="K3" s="154" t="s">
        <v>33</v>
      </c>
      <c r="L3" s="154"/>
      <c r="U3" s="13"/>
      <c r="V3" s="146" t="s">
        <v>6</v>
      </c>
      <c r="W3" s="149">
        <f>IF(W2&gt;=300,IF(W2&gt;100000,IF(W2&gt;5000000,IF(W2&gt;10000000,AF7%,AF6%),AF5%),AF4%),0%)</f>
        <v>0</v>
      </c>
      <c r="X3" s="16"/>
      <c r="Y3" s="16"/>
      <c r="Z3" s="16"/>
      <c r="AA3" s="16"/>
      <c r="AB3" s="16"/>
      <c r="AE3" s="8" t="s">
        <v>23</v>
      </c>
      <c r="AF3" s="17">
        <v>0</v>
      </c>
    </row>
    <row r="4" spans="1:34" ht="18.75" x14ac:dyDescent="0.3">
      <c r="A4" s="137" t="s">
        <v>7</v>
      </c>
      <c r="B4" s="169">
        <v>0.36599999999999999</v>
      </c>
      <c r="C4" s="169"/>
      <c r="D4" s="10"/>
      <c r="E4" s="10"/>
      <c r="F4" s="10"/>
      <c r="G4" s="10"/>
      <c r="H4" s="11"/>
      <c r="K4" s="19"/>
      <c r="L4" s="20"/>
      <c r="U4" s="13"/>
      <c r="V4" s="147"/>
      <c r="W4" s="150"/>
      <c r="X4" s="16"/>
      <c r="Y4" s="16"/>
      <c r="Z4" s="16"/>
      <c r="AA4" s="16"/>
      <c r="AB4" s="16"/>
      <c r="AE4" s="8" t="s">
        <v>24</v>
      </c>
      <c r="AF4" s="17">
        <v>0.01</v>
      </c>
    </row>
    <row r="5" spans="1:34" ht="18.75" x14ac:dyDescent="0.3">
      <c r="A5" s="137" t="s">
        <v>8</v>
      </c>
      <c r="B5" s="169">
        <v>3.5999999999999999E-3</v>
      </c>
      <c r="C5" s="169"/>
      <c r="D5" s="10"/>
      <c r="E5" s="10"/>
      <c r="F5" s="10"/>
      <c r="G5" s="10"/>
      <c r="H5" s="11"/>
      <c r="K5" s="21"/>
      <c r="L5" s="22"/>
      <c r="U5" s="13"/>
      <c r="V5" s="148"/>
      <c r="W5" s="151"/>
      <c r="X5" s="16"/>
      <c r="Y5" s="16"/>
      <c r="Z5" s="16"/>
      <c r="AA5" s="16"/>
      <c r="AB5" s="16"/>
      <c r="AE5" s="8" t="s">
        <v>25</v>
      </c>
      <c r="AF5" s="17">
        <v>0.01</v>
      </c>
    </row>
    <row r="6" spans="1:34" ht="18.75" x14ac:dyDescent="0.3">
      <c r="A6" s="9" t="s">
        <v>9</v>
      </c>
      <c r="B6" s="170">
        <v>43654</v>
      </c>
      <c r="C6" s="170"/>
      <c r="D6" s="10"/>
      <c r="E6" s="10"/>
      <c r="F6" s="10"/>
      <c r="G6" s="10"/>
      <c r="H6" s="11"/>
      <c r="K6" s="1" t="s">
        <v>28</v>
      </c>
      <c r="L6" s="22"/>
      <c r="U6" s="13"/>
      <c r="V6" s="14" t="s">
        <v>9</v>
      </c>
      <c r="W6" s="23">
        <v>43831</v>
      </c>
      <c r="X6" s="16"/>
      <c r="Y6" s="16"/>
      <c r="Z6" s="16"/>
      <c r="AA6" s="16"/>
      <c r="AB6" s="16"/>
      <c r="AE6" s="8" t="s">
        <v>26</v>
      </c>
      <c r="AF6" s="17">
        <v>0.01</v>
      </c>
    </row>
    <row r="7" spans="1:34" ht="18.75" x14ac:dyDescent="0.3">
      <c r="A7" s="9" t="s">
        <v>10</v>
      </c>
      <c r="B7" s="9"/>
      <c r="C7" s="24">
        <v>210</v>
      </c>
      <c r="D7" s="10"/>
      <c r="E7" s="10"/>
      <c r="F7" s="10"/>
      <c r="G7" s="10"/>
      <c r="H7" s="11"/>
      <c r="K7" s="134">
        <v>20</v>
      </c>
      <c r="L7" s="22"/>
      <c r="U7" s="13"/>
      <c r="V7" s="14" t="s">
        <v>10</v>
      </c>
      <c r="W7" s="25">
        <v>210</v>
      </c>
      <c r="X7" s="16"/>
      <c r="Y7" s="16"/>
      <c r="Z7" s="16"/>
      <c r="AA7" s="16"/>
      <c r="AB7" s="16"/>
      <c r="AE7" s="4" t="s">
        <v>27</v>
      </c>
      <c r="AF7" s="17">
        <v>0.01</v>
      </c>
    </row>
    <row r="8" spans="1:34" ht="18.75" x14ac:dyDescent="0.3">
      <c r="A8" s="9" t="s">
        <v>10</v>
      </c>
      <c r="B8" s="171">
        <v>150</v>
      </c>
      <c r="C8" s="171"/>
      <c r="D8" s="10"/>
      <c r="E8" s="10"/>
      <c r="F8" s="10"/>
      <c r="G8" s="10"/>
      <c r="H8" s="11"/>
      <c r="K8" s="26"/>
      <c r="L8" s="22"/>
      <c r="U8" s="13"/>
      <c r="V8" s="14" t="s">
        <v>10</v>
      </c>
      <c r="W8" s="25">
        <v>12</v>
      </c>
      <c r="X8" s="16"/>
      <c r="Y8" s="16"/>
      <c r="Z8" s="16"/>
      <c r="AA8" s="16"/>
      <c r="AB8" s="16"/>
    </row>
    <row r="9" spans="1:34" ht="18.75" x14ac:dyDescent="0.3">
      <c r="A9" s="27"/>
      <c r="B9" s="27"/>
      <c r="C9" s="28"/>
      <c r="D9" s="10"/>
      <c r="E9" s="10"/>
      <c r="F9" s="10"/>
      <c r="G9" s="10"/>
      <c r="H9" s="11"/>
      <c r="K9" s="1" t="s">
        <v>29</v>
      </c>
      <c r="L9" s="22"/>
      <c r="U9" s="13"/>
      <c r="V9" s="29"/>
      <c r="W9" s="30"/>
      <c r="X9" s="16"/>
      <c r="Y9" s="16"/>
      <c r="Z9" s="16"/>
      <c r="AA9" s="16"/>
      <c r="AB9" s="16"/>
    </row>
    <row r="10" spans="1:34" s="33" customFormat="1" ht="18.75" x14ac:dyDescent="0.3">
      <c r="A10" s="31" t="s">
        <v>11</v>
      </c>
      <c r="B10" s="161">
        <f>(B2*B4/365*(C17-1))+(B2*B5/365*((C19+C20+C21+C22+C23+C24)-6))</f>
        <v>4530.5753424657523</v>
      </c>
      <c r="C10" s="162"/>
      <c r="D10" s="163"/>
      <c r="E10" s="10"/>
      <c r="F10" s="10"/>
      <c r="G10" s="10"/>
      <c r="H10" s="32"/>
      <c r="K10" s="34">
        <v>12</v>
      </c>
      <c r="L10" s="22"/>
      <c r="U10" s="35"/>
      <c r="V10" s="36" t="s">
        <v>11</v>
      </c>
      <c r="W10" s="164">
        <f>W2*W3/366*(W7-2)</f>
        <v>0</v>
      </c>
      <c r="X10" s="164"/>
      <c r="Y10" s="37"/>
      <c r="Z10" s="37"/>
      <c r="AA10" s="37"/>
      <c r="AB10" s="38"/>
      <c r="AC10" s="8"/>
      <c r="AD10" s="8"/>
      <c r="AE10" s="8"/>
      <c r="AF10" s="8"/>
      <c r="AG10" s="8"/>
      <c r="AH10" s="8"/>
    </row>
    <row r="11" spans="1:34" s="33" customFormat="1" ht="18.75" x14ac:dyDescent="0.3">
      <c r="A11" s="39" t="s">
        <v>12</v>
      </c>
      <c r="B11" s="165">
        <f>B10-(B10*0.195)</f>
        <v>3647.1131506849306</v>
      </c>
      <c r="C11" s="166"/>
      <c r="D11" s="167"/>
      <c r="E11" s="40"/>
      <c r="F11" s="40"/>
      <c r="G11" s="40"/>
      <c r="H11" s="41"/>
      <c r="K11" s="26"/>
      <c r="L11" s="22"/>
      <c r="U11" s="35"/>
      <c r="V11" s="42" t="s">
        <v>12</v>
      </c>
      <c r="W11" s="168">
        <f>W10-(W10*0.195)</f>
        <v>0</v>
      </c>
      <c r="X11" s="168"/>
      <c r="Y11" s="43"/>
      <c r="Z11" s="43"/>
      <c r="AA11" s="44"/>
      <c r="AB11" s="38"/>
      <c r="AC11" s="8"/>
      <c r="AD11" s="8"/>
      <c r="AE11" s="8"/>
      <c r="AF11" s="8"/>
      <c r="AG11" s="8"/>
      <c r="AH11" s="8"/>
    </row>
    <row r="12" spans="1:34" ht="18.75" x14ac:dyDescent="0.3">
      <c r="A12" s="27"/>
      <c r="B12" s="27"/>
      <c r="C12" s="45"/>
      <c r="D12" s="10"/>
      <c r="E12" s="10"/>
      <c r="F12" s="10"/>
      <c r="G12" s="10"/>
      <c r="H12" s="11"/>
      <c r="K12" s="26"/>
      <c r="L12" s="22"/>
      <c r="U12" s="13"/>
      <c r="V12" s="46"/>
      <c r="W12" s="47"/>
      <c r="X12" s="48"/>
      <c r="Y12" s="48"/>
      <c r="Z12" s="48"/>
      <c r="AA12" s="48"/>
      <c r="AB12" s="48"/>
    </row>
    <row r="13" spans="1:34" s="51" customFormat="1" ht="18.75" x14ac:dyDescent="0.3">
      <c r="A13" s="155" t="s">
        <v>13</v>
      </c>
      <c r="B13" s="156"/>
      <c r="C13" s="156"/>
      <c r="D13" s="156"/>
      <c r="E13" s="157"/>
      <c r="F13" s="49"/>
      <c r="G13" s="49"/>
      <c r="H13" s="50"/>
      <c r="K13" s="52" t="s">
        <v>1</v>
      </c>
      <c r="L13" s="53"/>
      <c r="U13" s="54"/>
      <c r="V13" s="158" t="s">
        <v>13</v>
      </c>
      <c r="W13" s="158"/>
      <c r="X13" s="158"/>
      <c r="Y13" s="140"/>
      <c r="Z13" s="140"/>
      <c r="AA13" s="140"/>
      <c r="AB13" s="56"/>
      <c r="AC13" s="57"/>
      <c r="AD13" s="57"/>
      <c r="AE13" s="57"/>
      <c r="AF13" s="57"/>
      <c r="AG13" s="57"/>
      <c r="AH13" s="57"/>
    </row>
    <row r="14" spans="1:34" s="65" customFormat="1" ht="21" customHeight="1" x14ac:dyDescent="0.3">
      <c r="A14" s="58" t="s">
        <v>14</v>
      </c>
      <c r="B14" s="59" t="s">
        <v>15</v>
      </c>
      <c r="C14" s="60"/>
      <c r="D14" s="61" t="s">
        <v>6</v>
      </c>
      <c r="E14" s="62" t="s">
        <v>16</v>
      </c>
      <c r="F14" s="63" t="s">
        <v>17</v>
      </c>
      <c r="G14" s="63" t="s">
        <v>18</v>
      </c>
      <c r="H14" s="64"/>
      <c r="K14" s="66" t="s">
        <v>42</v>
      </c>
      <c r="L14" s="67">
        <f>K7+AA32</f>
        <v>20</v>
      </c>
      <c r="U14" s="68"/>
      <c r="V14" s="140" t="s">
        <v>14</v>
      </c>
      <c r="W14" s="63" t="s">
        <v>19</v>
      </c>
      <c r="X14" s="63" t="s">
        <v>16</v>
      </c>
      <c r="Y14" s="63" t="s">
        <v>31</v>
      </c>
      <c r="Z14" s="63" t="s">
        <v>30</v>
      </c>
      <c r="AA14" s="63" t="s">
        <v>18</v>
      </c>
      <c r="AB14" s="69"/>
      <c r="AC14" s="70"/>
      <c r="AD14" s="70"/>
      <c r="AE14" s="70"/>
      <c r="AF14" s="70"/>
      <c r="AG14" s="70"/>
      <c r="AH14" s="70"/>
    </row>
    <row r="15" spans="1:34" s="76" customFormat="1" ht="18.75" x14ac:dyDescent="0.3">
      <c r="A15" s="71">
        <f>B6</f>
        <v>43654</v>
      </c>
      <c r="B15" s="72"/>
      <c r="C15" s="28"/>
      <c r="D15" s="141"/>
      <c r="E15" s="141"/>
      <c r="F15" s="74"/>
      <c r="G15" s="74"/>
      <c r="H15" s="75"/>
      <c r="K15" s="77" t="s">
        <v>35</v>
      </c>
      <c r="L15" s="78">
        <f>W3</f>
        <v>0</v>
      </c>
      <c r="U15" s="79"/>
      <c r="V15" s="80">
        <f>W6</f>
        <v>43831</v>
      </c>
      <c r="W15" s="81"/>
      <c r="X15" s="81"/>
      <c r="Y15" s="81"/>
      <c r="Z15" s="81"/>
      <c r="AA15" s="81"/>
      <c r="AB15" s="82"/>
      <c r="AC15" s="83"/>
      <c r="AD15" s="83"/>
      <c r="AE15" s="83"/>
      <c r="AF15" s="83"/>
      <c r="AG15" s="83"/>
      <c r="AH15" s="83"/>
    </row>
    <row r="16" spans="1:34" s="76" customFormat="1" ht="18.75" x14ac:dyDescent="0.3">
      <c r="A16" s="71">
        <f>B6</f>
        <v>43654</v>
      </c>
      <c r="B16" s="72"/>
      <c r="C16" s="28"/>
      <c r="D16" s="141"/>
      <c r="E16" s="84">
        <f>-B2</f>
        <v>-150000</v>
      </c>
      <c r="F16" s="85"/>
      <c r="G16" s="84">
        <f>-B2</f>
        <v>-150000</v>
      </c>
      <c r="H16" s="75"/>
      <c r="K16" s="77" t="s">
        <v>43</v>
      </c>
      <c r="L16" s="86">
        <f>X32</f>
        <v>0</v>
      </c>
      <c r="U16" s="79"/>
      <c r="V16" s="87">
        <f>W6</f>
        <v>43831</v>
      </c>
      <c r="W16" s="88"/>
      <c r="X16" s="89">
        <f>-W2</f>
        <v>-20</v>
      </c>
      <c r="Y16" s="89"/>
      <c r="Z16" s="89"/>
      <c r="AA16" s="89">
        <f>X16-Y16</f>
        <v>-20</v>
      </c>
      <c r="AB16" s="82"/>
      <c r="AC16" s="83"/>
      <c r="AD16" s="83"/>
      <c r="AE16" s="83"/>
      <c r="AF16" s="83"/>
      <c r="AG16" s="83"/>
      <c r="AH16" s="83"/>
    </row>
    <row r="17" spans="1:34" ht="18.75" x14ac:dyDescent="0.3">
      <c r="A17" s="71">
        <f>A15+30</f>
        <v>43684</v>
      </c>
      <c r="B17" s="90">
        <v>1</v>
      </c>
      <c r="C17" s="91">
        <v>30</v>
      </c>
      <c r="D17" s="92">
        <v>36.6</v>
      </c>
      <c r="E17" s="92">
        <f>(B2*B4/366*(C17-1))</f>
        <v>4350</v>
      </c>
      <c r="F17" s="93">
        <f>E17*19.5%</f>
        <v>848.25</v>
      </c>
      <c r="G17" s="94">
        <f t="shared" ref="G17:G22" si="0">E17-F17</f>
        <v>3501.75</v>
      </c>
      <c r="H17" s="11"/>
      <c r="K17" s="77" t="s">
        <v>44</v>
      </c>
      <c r="L17" s="86">
        <f>Y32</f>
        <v>0</v>
      </c>
      <c r="U17" s="95">
        <v>1</v>
      </c>
      <c r="V17" s="80">
        <f>V16+30</f>
        <v>43861</v>
      </c>
      <c r="W17" s="96">
        <f>V17-W6</f>
        <v>30</v>
      </c>
      <c r="X17" s="93">
        <f>($W$2*$W$3/366*(W17))</f>
        <v>0</v>
      </c>
      <c r="Y17" s="93">
        <f>X17*18%</f>
        <v>0</v>
      </c>
      <c r="Z17" s="93">
        <f>X17*1.5%</f>
        <v>0</v>
      </c>
      <c r="AA17" s="94">
        <f>X17-Y17-Z17</f>
        <v>0</v>
      </c>
      <c r="AB17" s="97"/>
    </row>
    <row r="18" spans="1:34" ht="18.75" x14ac:dyDescent="0.3">
      <c r="A18" s="71"/>
      <c r="B18" s="90"/>
      <c r="C18" s="91"/>
      <c r="D18" s="92"/>
      <c r="E18" s="92"/>
      <c r="F18" s="93"/>
      <c r="G18" s="94"/>
      <c r="H18" s="11"/>
      <c r="K18" s="77" t="s">
        <v>45</v>
      </c>
      <c r="L18" s="86">
        <f>Z32</f>
        <v>0</v>
      </c>
      <c r="U18" s="95"/>
      <c r="V18" s="80"/>
      <c r="W18" s="96"/>
      <c r="X18" s="93"/>
      <c r="Y18" s="93"/>
      <c r="Z18" s="93"/>
      <c r="AA18" s="94"/>
      <c r="AB18" s="97"/>
    </row>
    <row r="19" spans="1:34" ht="18.75" x14ac:dyDescent="0.3">
      <c r="A19" s="71">
        <f>A17+30</f>
        <v>43714</v>
      </c>
      <c r="B19" s="90">
        <v>2</v>
      </c>
      <c r="C19" s="98">
        <f>A19-A17</f>
        <v>30</v>
      </c>
      <c r="D19" s="99">
        <v>0.36</v>
      </c>
      <c r="E19" s="99">
        <f>(B2*B5/366*(C19-1))</f>
        <v>42.786885245901644</v>
      </c>
      <c r="F19" s="93">
        <f t="shared" ref="F19:F22" si="1">E19*19.5%</f>
        <v>8.3434426229508212</v>
      </c>
      <c r="G19" s="94">
        <f t="shared" si="0"/>
        <v>34.443442622950826</v>
      </c>
      <c r="H19" s="11"/>
      <c r="K19" s="77" t="s">
        <v>46</v>
      </c>
      <c r="L19" s="86">
        <f>AA32</f>
        <v>0</v>
      </c>
      <c r="U19" s="100">
        <v>2</v>
      </c>
      <c r="V19" s="80">
        <f>V17+30</f>
        <v>43891</v>
      </c>
      <c r="W19" s="96">
        <f>V19-V17</f>
        <v>30</v>
      </c>
      <c r="X19" s="93">
        <f t="shared" ref="X19:X30" si="2">($W$2*$W$3/366*(W19))</f>
        <v>0</v>
      </c>
      <c r="Y19" s="93">
        <f>X19*18%</f>
        <v>0</v>
      </c>
      <c r="Z19" s="93">
        <f>X19*1.5%</f>
        <v>0</v>
      </c>
      <c r="AA19" s="94">
        <f>X19-Y19-Z19</f>
        <v>0</v>
      </c>
      <c r="AB19" s="97"/>
    </row>
    <row r="20" spans="1:34" ht="18.75" x14ac:dyDescent="0.3">
      <c r="A20" s="71">
        <f t="shared" ref="A20:A21" si="3">A19+30</f>
        <v>43744</v>
      </c>
      <c r="B20" s="90">
        <v>3</v>
      </c>
      <c r="C20" s="98">
        <f t="shared" ref="C20:C22" si="4">A20-A19</f>
        <v>30</v>
      </c>
      <c r="D20" s="99">
        <v>0.36</v>
      </c>
      <c r="E20" s="99">
        <f>(B2*B5/366*(C20-1))</f>
        <v>42.786885245901644</v>
      </c>
      <c r="F20" s="93">
        <f t="shared" si="1"/>
        <v>8.3434426229508212</v>
      </c>
      <c r="G20" s="94">
        <f t="shared" si="0"/>
        <v>34.443442622950826</v>
      </c>
      <c r="H20" s="11"/>
      <c r="K20" s="101" t="s">
        <v>41</v>
      </c>
      <c r="L20" s="102">
        <f>AB32</f>
        <v>2.9802322387695314E-9</v>
      </c>
      <c r="U20" s="100">
        <v>3</v>
      </c>
      <c r="V20" s="80">
        <f t="shared" ref="V20:V29" si="5">V19+30</f>
        <v>43921</v>
      </c>
      <c r="W20" s="96">
        <f t="shared" ref="W20:W23" si="6">V20-V19</f>
        <v>30</v>
      </c>
      <c r="X20" s="93">
        <f t="shared" si="2"/>
        <v>0</v>
      </c>
      <c r="Y20" s="93">
        <f t="shared" ref="Y20:Y30" si="7">X20*18%</f>
        <v>0</v>
      </c>
      <c r="Z20" s="93">
        <f t="shared" ref="Z20:Z30" si="8">X20*1.5%</f>
        <v>0</v>
      </c>
      <c r="AA20" s="94">
        <f t="shared" ref="AA20:AA30" si="9">X20-Y20-Z20</f>
        <v>0</v>
      </c>
      <c r="AB20" s="97"/>
    </row>
    <row r="21" spans="1:34" x14ac:dyDescent="0.25">
      <c r="A21" s="71">
        <f t="shared" si="3"/>
        <v>43774</v>
      </c>
      <c r="B21" s="90">
        <v>4</v>
      </c>
      <c r="C21" s="91">
        <f t="shared" si="4"/>
        <v>30</v>
      </c>
      <c r="D21" s="99">
        <v>0.36</v>
      </c>
      <c r="E21" s="99">
        <f>(B2*B5/366*(C21-1))</f>
        <v>42.786885245901644</v>
      </c>
      <c r="F21" s="93">
        <f t="shared" si="1"/>
        <v>8.3434426229508212</v>
      </c>
      <c r="G21" s="94">
        <f t="shared" si="0"/>
        <v>34.443442622950826</v>
      </c>
      <c r="H21" s="11"/>
      <c r="U21" s="100">
        <v>4</v>
      </c>
      <c r="V21" s="80">
        <f t="shared" si="5"/>
        <v>43951</v>
      </c>
      <c r="W21" s="96">
        <f t="shared" si="6"/>
        <v>30</v>
      </c>
      <c r="X21" s="93">
        <f t="shared" si="2"/>
        <v>0</v>
      </c>
      <c r="Y21" s="93">
        <f t="shared" si="7"/>
        <v>0</v>
      </c>
      <c r="Z21" s="93">
        <f t="shared" si="8"/>
        <v>0</v>
      </c>
      <c r="AA21" s="94">
        <f t="shared" si="9"/>
        <v>0</v>
      </c>
      <c r="AB21" s="97"/>
    </row>
    <row r="22" spans="1:34" x14ac:dyDescent="0.25">
      <c r="A22" s="71">
        <f>A21+30</f>
        <v>43804</v>
      </c>
      <c r="B22" s="90">
        <v>5</v>
      </c>
      <c r="C22" s="98">
        <f t="shared" si="4"/>
        <v>30</v>
      </c>
      <c r="D22" s="99">
        <v>0.36</v>
      </c>
      <c r="E22" s="99">
        <f>(B2*B5/365*(C22-1))</f>
        <v>42.904109589041092</v>
      </c>
      <c r="F22" s="93">
        <f t="shared" si="1"/>
        <v>8.3663013698630131</v>
      </c>
      <c r="G22" s="94">
        <f t="shared" si="0"/>
        <v>34.537808219178075</v>
      </c>
      <c r="H22" s="11"/>
      <c r="U22" s="100">
        <v>5</v>
      </c>
      <c r="V22" s="80">
        <f t="shared" si="5"/>
        <v>43981</v>
      </c>
      <c r="W22" s="96">
        <f t="shared" si="6"/>
        <v>30</v>
      </c>
      <c r="X22" s="93">
        <f t="shared" si="2"/>
        <v>0</v>
      </c>
      <c r="Y22" s="93">
        <f t="shared" si="7"/>
        <v>0</v>
      </c>
      <c r="Z22" s="93">
        <f t="shared" si="8"/>
        <v>0</v>
      </c>
      <c r="AA22" s="94">
        <f t="shared" si="9"/>
        <v>0</v>
      </c>
      <c r="AB22" s="97"/>
    </row>
    <row r="23" spans="1:34" x14ac:dyDescent="0.25">
      <c r="A23" s="71">
        <f>B6+150</f>
        <v>43804</v>
      </c>
      <c r="B23" s="90"/>
      <c r="C23" s="98"/>
      <c r="D23" s="99"/>
      <c r="E23" s="99">
        <f>B2</f>
        <v>150000</v>
      </c>
      <c r="F23" s="103"/>
      <c r="G23" s="103"/>
      <c r="H23" s="104" t="e">
        <f>XIRR(E7:E22,A7:A22)</f>
        <v>#VALUE!</v>
      </c>
      <c r="U23" s="100">
        <v>6</v>
      </c>
      <c r="V23" s="80">
        <f t="shared" si="5"/>
        <v>44011</v>
      </c>
      <c r="W23" s="96">
        <f t="shared" si="6"/>
        <v>30</v>
      </c>
      <c r="X23" s="93">
        <f>($W$2*$W$3/366*(W23))</f>
        <v>0</v>
      </c>
      <c r="Y23" s="93">
        <f t="shared" si="7"/>
        <v>0</v>
      </c>
      <c r="Z23" s="93">
        <f t="shared" si="8"/>
        <v>0</v>
      </c>
      <c r="AA23" s="94">
        <f t="shared" si="9"/>
        <v>0</v>
      </c>
      <c r="AB23" s="97"/>
    </row>
    <row r="24" spans="1:34" x14ac:dyDescent="0.25">
      <c r="A24" s="105" t="s">
        <v>0</v>
      </c>
      <c r="B24" s="90"/>
      <c r="C24" s="91"/>
      <c r="D24" s="99"/>
      <c r="E24" s="99"/>
      <c r="F24" s="103"/>
      <c r="G24" s="103"/>
      <c r="H24" s="104"/>
      <c r="U24" s="100">
        <v>7</v>
      </c>
      <c r="V24" s="80">
        <f t="shared" si="5"/>
        <v>44041</v>
      </c>
      <c r="W24" s="96">
        <f>W7-(SUM(W17:W23))</f>
        <v>30</v>
      </c>
      <c r="X24" s="93">
        <f t="shared" si="2"/>
        <v>0</v>
      </c>
      <c r="Y24" s="93">
        <f t="shared" si="7"/>
        <v>0</v>
      </c>
      <c r="Z24" s="93">
        <f t="shared" si="8"/>
        <v>0</v>
      </c>
      <c r="AA24" s="94">
        <f t="shared" si="9"/>
        <v>0</v>
      </c>
      <c r="AB24" s="97"/>
    </row>
    <row r="25" spans="1:34" x14ac:dyDescent="0.25">
      <c r="A25" s="71"/>
      <c r="B25" s="106"/>
      <c r="C25" s="91"/>
      <c r="D25" s="99"/>
      <c r="E25" s="99"/>
      <c r="F25" s="103"/>
      <c r="G25" s="103"/>
      <c r="H25" s="11"/>
      <c r="U25" s="107"/>
      <c r="V25" s="80">
        <f t="shared" si="5"/>
        <v>44071</v>
      </c>
      <c r="W25" s="96">
        <v>30</v>
      </c>
      <c r="X25" s="93">
        <f t="shared" si="2"/>
        <v>0</v>
      </c>
      <c r="Y25" s="93">
        <f t="shared" si="7"/>
        <v>0</v>
      </c>
      <c r="Z25" s="93">
        <f t="shared" si="8"/>
        <v>0</v>
      </c>
      <c r="AA25" s="94">
        <f t="shared" si="9"/>
        <v>0</v>
      </c>
      <c r="AB25" s="97"/>
    </row>
    <row r="26" spans="1:34" x14ac:dyDescent="0.25">
      <c r="A26" s="71"/>
      <c r="B26" s="106"/>
      <c r="C26" s="91"/>
      <c r="D26" s="99"/>
      <c r="E26" s="99"/>
      <c r="F26" s="103"/>
      <c r="G26" s="103"/>
      <c r="H26" s="11"/>
      <c r="U26" s="107"/>
      <c r="V26" s="80">
        <f t="shared" si="5"/>
        <v>44101</v>
      </c>
      <c r="W26" s="96">
        <v>30</v>
      </c>
      <c r="X26" s="93">
        <f t="shared" si="2"/>
        <v>0</v>
      </c>
      <c r="Y26" s="93">
        <f t="shared" si="7"/>
        <v>0</v>
      </c>
      <c r="Z26" s="93">
        <f t="shared" si="8"/>
        <v>0</v>
      </c>
      <c r="AA26" s="94">
        <f t="shared" si="9"/>
        <v>0</v>
      </c>
      <c r="AB26" s="97"/>
    </row>
    <row r="27" spans="1:34" x14ac:dyDescent="0.25">
      <c r="A27" s="71"/>
      <c r="B27" s="106"/>
      <c r="C27" s="91"/>
      <c r="D27" s="99"/>
      <c r="E27" s="99"/>
      <c r="F27" s="103"/>
      <c r="G27" s="103"/>
      <c r="H27" s="11"/>
      <c r="U27" s="107"/>
      <c r="V27" s="80">
        <f t="shared" si="5"/>
        <v>44131</v>
      </c>
      <c r="W27" s="96">
        <v>30</v>
      </c>
      <c r="X27" s="93">
        <f t="shared" si="2"/>
        <v>0</v>
      </c>
      <c r="Y27" s="93">
        <f t="shared" si="7"/>
        <v>0</v>
      </c>
      <c r="Z27" s="93">
        <f t="shared" si="8"/>
        <v>0</v>
      </c>
      <c r="AA27" s="94">
        <f t="shared" si="9"/>
        <v>0</v>
      </c>
      <c r="AB27" s="97"/>
    </row>
    <row r="28" spans="1:34" x14ac:dyDescent="0.25">
      <c r="A28" s="71"/>
      <c r="B28" s="106"/>
      <c r="C28" s="91"/>
      <c r="D28" s="99"/>
      <c r="E28" s="99"/>
      <c r="F28" s="103"/>
      <c r="G28" s="103"/>
      <c r="H28" s="11"/>
      <c r="U28" s="107"/>
      <c r="V28" s="80">
        <f t="shared" si="5"/>
        <v>44161</v>
      </c>
      <c r="W28" s="96">
        <v>30</v>
      </c>
      <c r="X28" s="93">
        <f t="shared" si="2"/>
        <v>0</v>
      </c>
      <c r="Y28" s="93">
        <f t="shared" si="7"/>
        <v>0</v>
      </c>
      <c r="Z28" s="93">
        <f t="shared" si="8"/>
        <v>0</v>
      </c>
      <c r="AA28" s="94">
        <f t="shared" si="9"/>
        <v>0</v>
      </c>
      <c r="AB28" s="97"/>
    </row>
    <row r="29" spans="1:34" x14ac:dyDescent="0.25">
      <c r="A29" s="71"/>
      <c r="B29" s="106"/>
      <c r="C29" s="91"/>
      <c r="D29" s="99"/>
      <c r="E29" s="99"/>
      <c r="F29" s="103"/>
      <c r="G29" s="103"/>
      <c r="H29" s="11"/>
      <c r="U29" s="107"/>
      <c r="V29" s="80">
        <f t="shared" si="5"/>
        <v>44191</v>
      </c>
      <c r="W29" s="96">
        <v>30</v>
      </c>
      <c r="X29" s="93">
        <f t="shared" si="2"/>
        <v>0</v>
      </c>
      <c r="Y29" s="93">
        <f t="shared" si="7"/>
        <v>0</v>
      </c>
      <c r="Z29" s="93">
        <f t="shared" si="8"/>
        <v>0</v>
      </c>
      <c r="AA29" s="94">
        <f t="shared" si="9"/>
        <v>0</v>
      </c>
      <c r="AB29" s="97"/>
    </row>
    <row r="30" spans="1:34" x14ac:dyDescent="0.25">
      <c r="A30" s="71"/>
      <c r="B30" s="106"/>
      <c r="C30" s="91"/>
      <c r="D30" s="99"/>
      <c r="E30" s="99"/>
      <c r="F30" s="103"/>
      <c r="G30" s="103"/>
      <c r="H30" s="11"/>
      <c r="U30" s="107"/>
      <c r="V30" s="80">
        <f>V29+30</f>
        <v>44221</v>
      </c>
      <c r="W30" s="96">
        <v>30</v>
      </c>
      <c r="X30" s="93">
        <f t="shared" si="2"/>
        <v>0</v>
      </c>
      <c r="Y30" s="93">
        <f t="shared" si="7"/>
        <v>0</v>
      </c>
      <c r="Z30" s="93">
        <f t="shared" si="8"/>
        <v>0</v>
      </c>
      <c r="AA30" s="94">
        <f t="shared" si="9"/>
        <v>0</v>
      </c>
      <c r="AB30" s="97"/>
    </row>
    <row r="31" spans="1:34" x14ac:dyDescent="0.25">
      <c r="A31" s="71"/>
      <c r="B31" s="106"/>
      <c r="C31" s="91"/>
      <c r="D31" s="99"/>
      <c r="E31" s="99"/>
      <c r="F31" s="103"/>
      <c r="G31" s="103"/>
      <c r="H31" s="11"/>
      <c r="U31" s="107"/>
      <c r="V31" s="87">
        <f>W6+W32</f>
        <v>44191</v>
      </c>
      <c r="W31" s="108"/>
      <c r="X31" s="109">
        <f>W2</f>
        <v>20</v>
      </c>
      <c r="Y31" s="109"/>
      <c r="Z31" s="93"/>
      <c r="AA31" s="94">
        <f>X31-Y31-Z31</f>
        <v>20</v>
      </c>
      <c r="AB31" s="97"/>
    </row>
    <row r="32" spans="1:34" s="112" customFormat="1" x14ac:dyDescent="0.25">
      <c r="A32" s="105" t="s">
        <v>0</v>
      </c>
      <c r="B32" s="59"/>
      <c r="C32" s="110">
        <f>SUM(C17:C24)</f>
        <v>150</v>
      </c>
      <c r="D32" s="92">
        <f>AVERAGE(D17:D24)</f>
        <v>7.6079999999999997</v>
      </c>
      <c r="E32" s="92">
        <f>SUM(E17:E24)</f>
        <v>154521.26476532675</v>
      </c>
      <c r="F32" s="111"/>
      <c r="G32" s="111"/>
      <c r="H32" s="104" t="e">
        <f>XIRR(E16:E31,A16:A31)</f>
        <v>#VALUE!</v>
      </c>
      <c r="U32" s="113"/>
      <c r="V32" s="140" t="s">
        <v>0</v>
      </c>
      <c r="W32" s="114">
        <f>W8*30</f>
        <v>360</v>
      </c>
      <c r="X32" s="115">
        <f>SUM(X17:X30)</f>
        <v>0</v>
      </c>
      <c r="Y32" s="115">
        <f>SUM(Y17:Y30)</f>
        <v>0</v>
      </c>
      <c r="Z32" s="115">
        <f>SUM(Z17:Z30)</f>
        <v>0</v>
      </c>
      <c r="AA32" s="115">
        <f>X32-Y32</f>
        <v>0</v>
      </c>
      <c r="AB32" s="104">
        <f>XIRR(AA16:AA31,V16:V31)</f>
        <v>2.9802322387695314E-9</v>
      </c>
      <c r="AC32" s="116"/>
      <c r="AD32" s="116"/>
      <c r="AE32" s="116"/>
      <c r="AF32" s="116"/>
      <c r="AG32" s="116"/>
      <c r="AH32" s="116"/>
    </row>
    <row r="33" spans="1:34" x14ac:dyDescent="0.25">
      <c r="A33" s="10"/>
      <c r="B33" s="10"/>
      <c r="C33" s="117"/>
      <c r="D33" s="10"/>
      <c r="E33" s="10"/>
      <c r="F33" s="10"/>
      <c r="G33" s="10"/>
      <c r="H33" s="11"/>
      <c r="U33" s="13"/>
      <c r="V33" s="16"/>
      <c r="W33" s="16"/>
      <c r="X33" s="16"/>
      <c r="Y33" s="16"/>
      <c r="Z33" s="16"/>
      <c r="AA33" s="16"/>
      <c r="AB33" s="16"/>
    </row>
    <row r="34" spans="1:34" x14ac:dyDescent="0.25">
      <c r="A34" s="10"/>
      <c r="B34" s="10"/>
      <c r="C34" s="117"/>
      <c r="D34" s="10"/>
      <c r="E34" s="10"/>
      <c r="F34" s="10"/>
      <c r="G34" s="10"/>
      <c r="H34" s="11"/>
      <c r="U34" s="13"/>
      <c r="V34" s="16"/>
      <c r="W34" s="16"/>
      <c r="X34" s="16"/>
      <c r="Y34" s="16"/>
      <c r="Z34" s="16"/>
      <c r="AA34" s="16"/>
      <c r="AB34" s="16"/>
    </row>
    <row r="35" spans="1:34" x14ac:dyDescent="0.25">
      <c r="A35" s="159" t="s">
        <v>20</v>
      </c>
      <c r="B35" s="152"/>
      <c r="C35" s="152"/>
      <c r="D35" s="152"/>
      <c r="E35" s="138"/>
      <c r="F35" s="138"/>
      <c r="G35" s="138"/>
      <c r="H35" s="11"/>
      <c r="U35" s="119"/>
      <c r="V35" s="160" t="s">
        <v>20</v>
      </c>
      <c r="W35" s="153"/>
      <c r="X35" s="153"/>
      <c r="Y35" s="139"/>
      <c r="Z35" s="139"/>
      <c r="AA35" s="139"/>
      <c r="AB35" s="16"/>
    </row>
    <row r="36" spans="1:34" s="122" customFormat="1" x14ac:dyDescent="0.25">
      <c r="A36" s="152" t="s">
        <v>21</v>
      </c>
      <c r="B36" s="152"/>
      <c r="C36" s="152"/>
      <c r="D36" s="152"/>
      <c r="E36" s="138"/>
      <c r="F36" s="138"/>
      <c r="G36" s="138"/>
      <c r="H36" s="121"/>
      <c r="U36" s="123"/>
      <c r="V36" s="153" t="s">
        <v>21</v>
      </c>
      <c r="W36" s="153"/>
      <c r="X36" s="153"/>
      <c r="Y36" s="139"/>
      <c r="Z36" s="139"/>
      <c r="AA36" s="139"/>
      <c r="AB36" s="124"/>
      <c r="AC36" s="125"/>
      <c r="AD36" s="125"/>
      <c r="AE36" s="125"/>
      <c r="AF36" s="125"/>
      <c r="AG36" s="125"/>
      <c r="AH36" s="125"/>
    </row>
    <row r="37" spans="1:34" x14ac:dyDescent="0.25">
      <c r="A37" s="10"/>
      <c r="B37" s="10"/>
      <c r="C37" s="117"/>
      <c r="D37" s="10"/>
      <c r="E37" s="10"/>
      <c r="F37" s="10"/>
      <c r="G37" s="10"/>
      <c r="H37" s="11"/>
      <c r="U37" s="126"/>
      <c r="V37" s="127"/>
      <c r="W37" s="127"/>
      <c r="X37" s="16"/>
      <c r="Y37" s="16"/>
      <c r="Z37" s="16"/>
      <c r="AA37" s="16"/>
      <c r="AB37" s="16"/>
    </row>
    <row r="38" spans="1:34" x14ac:dyDescent="0.25">
      <c r="A38" s="10"/>
      <c r="B38" s="10"/>
      <c r="C38" s="117"/>
      <c r="D38" s="10"/>
      <c r="E38" s="10"/>
      <c r="F38" s="10"/>
      <c r="G38" s="10"/>
      <c r="H38" s="11"/>
      <c r="U38" s="126"/>
      <c r="V38" s="127"/>
      <c r="W38" s="127"/>
      <c r="X38" s="16"/>
      <c r="Y38" s="16"/>
      <c r="Z38" s="16"/>
      <c r="AA38" s="16"/>
      <c r="AB38" s="16"/>
    </row>
    <row r="39" spans="1:34" x14ac:dyDescent="0.25">
      <c r="A39" s="10"/>
      <c r="B39" s="10"/>
      <c r="C39" s="117"/>
      <c r="D39" s="10"/>
      <c r="E39" s="10"/>
      <c r="F39" s="10"/>
      <c r="G39" s="10"/>
      <c r="H39" s="11"/>
      <c r="U39" s="126"/>
      <c r="V39" s="127"/>
      <c r="W39" s="127"/>
      <c r="X39" s="16"/>
      <c r="Y39" s="16"/>
      <c r="Z39" s="16"/>
      <c r="AA39" s="16"/>
      <c r="AB39" s="16"/>
    </row>
    <row r="40" spans="1:34" x14ac:dyDescent="0.25">
      <c r="A40" s="10"/>
      <c r="B40" s="10"/>
      <c r="C40" s="117"/>
      <c r="D40" s="10"/>
      <c r="E40" s="10"/>
      <c r="F40" s="10"/>
      <c r="G40" s="10"/>
      <c r="H40" s="11"/>
      <c r="U40" s="126"/>
      <c r="V40" s="127"/>
      <c r="W40" s="127"/>
      <c r="X40" s="16"/>
      <c r="Y40" s="16"/>
      <c r="Z40" s="16"/>
      <c r="AA40" s="16"/>
      <c r="AB40" s="16"/>
    </row>
    <row r="41" spans="1:34" x14ac:dyDescent="0.25">
      <c r="A41" s="10"/>
      <c r="B41" s="10"/>
      <c r="C41" s="117"/>
      <c r="D41" s="10"/>
      <c r="E41" s="10"/>
      <c r="F41" s="10"/>
      <c r="G41" s="10"/>
      <c r="H41" s="11"/>
      <c r="U41" s="126"/>
      <c r="V41" s="127"/>
      <c r="W41" s="127"/>
      <c r="X41" s="16"/>
      <c r="Y41" s="16"/>
      <c r="Z41" s="16"/>
      <c r="AA41" s="16"/>
      <c r="AB41" s="16"/>
    </row>
    <row r="42" spans="1:34" x14ac:dyDescent="0.25">
      <c r="A42" s="10"/>
      <c r="B42" s="10"/>
      <c r="C42" s="117"/>
      <c r="D42" s="10"/>
      <c r="E42" s="10"/>
      <c r="F42" s="10"/>
      <c r="G42" s="10"/>
      <c r="H42" s="11"/>
      <c r="U42" s="126"/>
      <c r="V42" s="127"/>
      <c r="W42" s="127"/>
      <c r="X42" s="16"/>
      <c r="Y42" s="16"/>
      <c r="Z42" s="16"/>
      <c r="AA42" s="16"/>
      <c r="AB42" s="16"/>
    </row>
    <row r="43" spans="1:34" x14ac:dyDescent="0.25">
      <c r="A43" s="10"/>
      <c r="B43" s="10"/>
      <c r="C43" s="117"/>
      <c r="D43" s="10"/>
      <c r="E43" s="10"/>
      <c r="F43" s="10"/>
      <c r="G43" s="10"/>
      <c r="H43" s="11"/>
      <c r="U43" s="126"/>
      <c r="V43" s="127"/>
      <c r="W43" s="127"/>
      <c r="X43" s="16"/>
      <c r="Y43" s="16"/>
      <c r="Z43" s="16"/>
      <c r="AA43" s="16"/>
      <c r="AB43" s="16"/>
    </row>
    <row r="44" spans="1:34" x14ac:dyDescent="0.25">
      <c r="A44" s="10"/>
      <c r="B44" s="10"/>
      <c r="C44" s="117"/>
      <c r="D44" s="10"/>
      <c r="E44" s="10"/>
      <c r="F44" s="10"/>
      <c r="G44" s="10"/>
      <c r="H44" s="11"/>
      <c r="U44" s="126"/>
      <c r="V44" s="127"/>
      <c r="W44" s="127"/>
      <c r="X44" s="16"/>
      <c r="Y44" s="16"/>
      <c r="Z44" s="16"/>
      <c r="AA44" s="16"/>
      <c r="AB44" s="16"/>
    </row>
    <row r="45" spans="1:34" x14ac:dyDescent="0.25">
      <c r="A45" s="10"/>
      <c r="B45" s="10"/>
      <c r="C45" s="117"/>
      <c r="D45" s="10"/>
      <c r="E45" s="10"/>
      <c r="F45" s="10"/>
      <c r="G45" s="10"/>
      <c r="H45" s="11"/>
      <c r="U45" s="126"/>
      <c r="V45" s="127"/>
      <c r="W45" s="127"/>
      <c r="X45" s="16"/>
      <c r="Y45" s="16"/>
      <c r="Z45" s="16"/>
      <c r="AA45" s="16"/>
      <c r="AB45" s="16"/>
    </row>
    <row r="46" spans="1:34" x14ac:dyDescent="0.25">
      <c r="A46" s="10"/>
      <c r="B46" s="10"/>
      <c r="C46" s="117"/>
      <c r="D46" s="10"/>
      <c r="E46" s="10"/>
      <c r="F46" s="10"/>
      <c r="G46" s="10"/>
      <c r="H46" s="11"/>
      <c r="U46" s="126"/>
      <c r="V46" s="127"/>
      <c r="W46" s="127"/>
      <c r="X46" s="16"/>
      <c r="Y46" s="16"/>
      <c r="Z46" s="16"/>
      <c r="AA46" s="16"/>
      <c r="AB46" s="16"/>
    </row>
    <row r="47" spans="1:34" x14ac:dyDescent="0.25">
      <c r="A47" s="10"/>
      <c r="B47" s="10"/>
      <c r="C47" s="117"/>
      <c r="D47" s="10"/>
      <c r="E47" s="10"/>
      <c r="F47" s="10"/>
      <c r="G47" s="10"/>
      <c r="H47" s="11"/>
      <c r="U47" s="126"/>
      <c r="V47" s="127"/>
      <c r="W47" s="127"/>
      <c r="X47" s="16"/>
      <c r="Y47" s="16"/>
      <c r="Z47" s="16"/>
      <c r="AA47" s="16"/>
      <c r="AB47" s="16"/>
    </row>
    <row r="48" spans="1:34" x14ac:dyDescent="0.25">
      <c r="A48" s="10"/>
      <c r="B48" s="10"/>
      <c r="C48" s="117"/>
      <c r="D48" s="10"/>
      <c r="E48" s="10"/>
      <c r="F48" s="10"/>
      <c r="G48" s="10"/>
      <c r="H48" s="11"/>
      <c r="U48" s="126"/>
      <c r="V48" s="127"/>
      <c r="W48" s="127"/>
      <c r="X48" s="16"/>
      <c r="Y48" s="16"/>
      <c r="Z48" s="16"/>
      <c r="AA48" s="16"/>
      <c r="AB48" s="16"/>
    </row>
    <row r="49" spans="1:28" x14ac:dyDescent="0.25">
      <c r="A49" s="10"/>
      <c r="B49" s="10"/>
      <c r="C49" s="117"/>
      <c r="D49" s="10"/>
      <c r="E49" s="10"/>
      <c r="F49" s="10"/>
      <c r="G49" s="10"/>
      <c r="H49" s="11"/>
      <c r="U49" s="126"/>
      <c r="V49" s="127"/>
      <c r="W49" s="127"/>
      <c r="X49" s="127"/>
      <c r="Y49" s="127"/>
      <c r="Z49" s="127"/>
      <c r="AA49" s="127"/>
      <c r="AB49" s="127"/>
    </row>
    <row r="50" spans="1:28" x14ac:dyDescent="0.25">
      <c r="A50" s="10"/>
      <c r="B50" s="10"/>
      <c r="C50" s="117"/>
      <c r="D50" s="10"/>
      <c r="E50" s="10"/>
      <c r="F50" s="10"/>
      <c r="G50" s="10"/>
      <c r="H50" s="11"/>
      <c r="U50" s="126"/>
      <c r="V50" s="127"/>
      <c r="W50" s="127"/>
      <c r="X50" s="127"/>
      <c r="Y50" s="127"/>
      <c r="Z50" s="127"/>
      <c r="AA50" s="127"/>
      <c r="AB50" s="127"/>
    </row>
    <row r="51" spans="1:28" ht="15.75" thickBot="1" x14ac:dyDescent="0.3">
      <c r="A51" s="128"/>
      <c r="B51" s="128"/>
      <c r="C51" s="129"/>
      <c r="D51" s="128"/>
      <c r="E51" s="128"/>
      <c r="F51" s="128"/>
      <c r="G51" s="128"/>
      <c r="H51" s="130"/>
      <c r="U51" s="131"/>
      <c r="V51" s="132"/>
      <c r="W51" s="132"/>
      <c r="X51" s="132"/>
      <c r="Y51" s="132"/>
      <c r="Z51" s="132"/>
      <c r="AA51" s="132"/>
      <c r="AB51" s="132"/>
    </row>
  </sheetData>
  <sheetProtection algorithmName="SHA-512" hashValue="apGwBaTJhN6HFW6460GyPTbhA1d2U7ptwtrNoh8ZcWBu6FBjekeEu+h76tMoDQFpLe/ijeCTbDKmphopLfuWPg==" saltValue="EzgySWRIHMdT9V0PkfgzwA==" spinCount="100000" sheet="1" formatCells="0" formatColumns="0" formatRows="0" insertColumns="0" insertRows="0" insertHyperlinks="0" deleteColumns="0" deleteRows="0" sort="0" autoFilter="0" pivotTables="0"/>
  <mergeCells count="22">
    <mergeCell ref="A1:E1"/>
    <mergeCell ref="V1:X1"/>
    <mergeCell ref="B2:C2"/>
    <mergeCell ref="K2:L2"/>
    <mergeCell ref="A3:C3"/>
    <mergeCell ref="K3:L3"/>
    <mergeCell ref="V3:V5"/>
    <mergeCell ref="W3:W5"/>
    <mergeCell ref="B4:C4"/>
    <mergeCell ref="B5:C5"/>
    <mergeCell ref="B6:C6"/>
    <mergeCell ref="B8:C8"/>
    <mergeCell ref="B10:D10"/>
    <mergeCell ref="W10:X10"/>
    <mergeCell ref="B11:D11"/>
    <mergeCell ref="W11:X11"/>
    <mergeCell ref="A13:E13"/>
    <mergeCell ref="V13:X13"/>
    <mergeCell ref="A35:D35"/>
    <mergeCell ref="V35:X35"/>
    <mergeCell ref="A36:D36"/>
    <mergeCell ref="V36:X36"/>
  </mergeCells>
  <dataValidations count="5">
    <dataValidation type="whole" allowBlank="1" showInputMessage="1" showErrorMessage="1" sqref="K7">
      <formula1>20</formula1>
      <formula2>88888888888</formula2>
    </dataValidation>
    <dataValidation type="whole" operator="greaterThanOrEqual" allowBlank="1" showInputMessage="1" showErrorMessage="1" error="Сума депозиту не відповідає умовам продукту" sqref="B2:C2">
      <formula1>5000</formula1>
    </dataValidation>
    <dataValidation allowBlank="1" showInputMessage="1" showErrorMessage="1" error="Сума депозиту не відповідає умовам продукту" sqref="W2"/>
    <dataValidation type="list" allowBlank="1" showInputMessage="1" showErrorMessage="1" sqref="C7">
      <formula1>"210"</formula1>
    </dataValidation>
    <dataValidation type="whole" allowBlank="1" showInputMessage="1" showErrorMessage="1" sqref="K10">
      <formula1>12</formula1>
      <formula2>12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W8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