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ynn\Downloads\w\New folder\Silpo\2023\"/>
    </mc:Choice>
  </mc:AlternateContent>
  <xr:revisionPtr revIDLastSave="0" documentId="8_{609383C2-2299-4139-9131-552FD2448C7B}" xr6:coauthVersionLast="47" xr6:coauthVersionMax="47" xr10:uidLastSave="{00000000-0000-0000-0000-000000000000}"/>
  <workbookProtection workbookAlgorithmName="SHA-512" workbookHashValue="VNZklrWhCKE7aWTztcmmbp/2WEfxxNJes3AbHw3exSfvzckxo0MoZl5pAygdEuMqpduVk8WbFAYX8AFce2NtBw==" workbookSaltValue="LcI/eXNWklXOqwbHRZvtqA==" workbookSpinCount="100000" lockStructure="1"/>
  <bookViews>
    <workbookView xWindow="-120" yWindow="-120" windowWidth="29040" windowHeight="15720" tabRatio="415" xr2:uid="{00000000-000D-0000-FFFF-FFFF00000000}"/>
  </bookViews>
  <sheets>
    <sheet name="Калькулятор" sheetId="2" r:id="rId1"/>
    <sheet name="Продукти" sheetId="3" state="hidden" r:id="rId2"/>
  </sheets>
  <definedNames>
    <definedName name="Maxamount">Калькулятор!$F$15</definedName>
    <definedName name="_xlnm.Print_Area" localSheetId="0">Калькулятор!$B$1:$S$81</definedName>
    <definedName name="Макс_срок">Продукти!$M$11</definedName>
    <definedName name="Мін_срок">Продукти!$L$11</definedName>
    <definedName name="Список_продуктов">Продукти!$B$2:$B$10</definedName>
    <definedName name="Срок_кредиту">Калькулятор!$F$9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" i="2" l="1"/>
  <c r="R9" i="2"/>
  <c r="R10" i="2"/>
  <c r="R11" i="2"/>
  <c r="R12" i="2"/>
  <c r="R13" i="2"/>
  <c r="R14" i="2"/>
  <c r="R15" i="2"/>
  <c r="R7" i="2"/>
  <c r="Q9" i="2"/>
  <c r="Q10" i="2"/>
  <c r="Q11" i="2"/>
  <c r="Q12" i="2"/>
  <c r="Q13" i="2"/>
  <c r="Q14" i="2"/>
  <c r="Q15" i="2"/>
  <c r="P8" i="2"/>
  <c r="P9" i="2"/>
  <c r="P10" i="2"/>
  <c r="P11" i="2"/>
  <c r="P12" i="2"/>
  <c r="P13" i="2"/>
  <c r="P14" i="2"/>
  <c r="P15" i="2"/>
  <c r="P7" i="2"/>
  <c r="O15" i="2"/>
  <c r="O14" i="2"/>
  <c r="O13" i="2"/>
  <c r="O12" i="2"/>
  <c r="O11" i="2"/>
  <c r="O10" i="2"/>
  <c r="O9" i="2"/>
  <c r="O8" i="2"/>
  <c r="O7" i="2"/>
  <c r="N7" i="2"/>
  <c r="N8" i="2"/>
  <c r="N9" i="2"/>
  <c r="N10" i="2"/>
  <c r="N11" i="2"/>
  <c r="N12" i="2"/>
  <c r="N13" i="2"/>
  <c r="N14" i="2"/>
  <c r="N15" i="2"/>
  <c r="M8" i="2"/>
  <c r="M9" i="2"/>
  <c r="M10" i="2"/>
  <c r="M11" i="2"/>
  <c r="M12" i="2"/>
  <c r="M13" i="2"/>
  <c r="M14" i="2"/>
  <c r="M15" i="2"/>
  <c r="M7" i="2"/>
  <c r="L8" i="2"/>
  <c r="L9" i="2"/>
  <c r="L10" i="2"/>
  <c r="L11" i="2"/>
  <c r="L12" i="2"/>
  <c r="L13" i="2"/>
  <c r="L14" i="2"/>
  <c r="L15" i="2"/>
  <c r="L7" i="2"/>
  <c r="K3" i="3"/>
  <c r="K10" i="3"/>
  <c r="N10" i="3"/>
  <c r="N9" i="3"/>
  <c r="N8" i="3"/>
  <c r="N7" i="3"/>
  <c r="N6" i="3"/>
  <c r="N5" i="3"/>
  <c r="N4" i="3"/>
  <c r="N3" i="3"/>
  <c r="K9" i="3"/>
  <c r="K8" i="3"/>
  <c r="K7" i="3"/>
  <c r="K6" i="3"/>
  <c r="K5" i="3"/>
  <c r="K4" i="3"/>
  <c r="H5" i="2" l="1"/>
  <c r="D21" i="2" l="1"/>
  <c r="T103" i="2" l="1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K2" i="3" l="1"/>
  <c r="R2" i="3"/>
  <c r="S2" i="3"/>
  <c r="B11" i="3" l="1"/>
  <c r="N11" i="3" l="1"/>
  <c r="G9" i="2" s="1"/>
  <c r="G11" i="3"/>
  <c r="F13" i="2" s="1"/>
  <c r="M11" i="3"/>
  <c r="J11" i="3"/>
  <c r="F11" i="3"/>
  <c r="F12" i="2" s="1"/>
  <c r="L11" i="3"/>
  <c r="H11" i="3"/>
  <c r="F14" i="2" s="1"/>
  <c r="E11" i="3"/>
  <c r="F11" i="2" s="1"/>
  <c r="K11" i="3"/>
  <c r="C11" i="3"/>
  <c r="I11" i="3"/>
  <c r="D11" i="3"/>
  <c r="V11" i="3"/>
  <c r="Q11" i="3"/>
  <c r="U11" i="3"/>
  <c r="G15" i="2" l="1"/>
  <c r="G8" i="2"/>
  <c r="G14" i="2"/>
  <c r="F15" i="2" s="1"/>
  <c r="B9" i="2"/>
  <c r="F10" i="2"/>
  <c r="C71" i="2" l="1"/>
  <c r="C55" i="2"/>
  <c r="C39" i="2"/>
  <c r="C23" i="2"/>
  <c r="C69" i="2"/>
  <c r="J69" i="2" s="1"/>
  <c r="U67" i="2" s="1"/>
  <c r="C37" i="2"/>
  <c r="J37" i="2" s="1"/>
  <c r="U35" i="2" s="1"/>
  <c r="G13" i="2"/>
  <c r="C59" i="2"/>
  <c r="J59" i="2" s="1"/>
  <c r="U57" i="2" s="1"/>
  <c r="C26" i="2"/>
  <c r="J26" i="2" s="1"/>
  <c r="U24" i="2" s="1"/>
  <c r="C40" i="2"/>
  <c r="J40" i="2" s="1"/>
  <c r="U38" i="2" s="1"/>
  <c r="C70" i="2"/>
  <c r="J70" i="2" s="1"/>
  <c r="U68" i="2" s="1"/>
  <c r="C54" i="2"/>
  <c r="J54" i="2" s="1"/>
  <c r="U52" i="2" s="1"/>
  <c r="C38" i="2"/>
  <c r="J38" i="2" s="1"/>
  <c r="U36" i="2" s="1"/>
  <c r="E21" i="2"/>
  <c r="C53" i="2"/>
  <c r="J53" i="2" s="1"/>
  <c r="U51" i="2" s="1"/>
  <c r="C29" i="2"/>
  <c r="J29" i="2" s="1"/>
  <c r="U27" i="2" s="1"/>
  <c r="C44" i="2"/>
  <c r="C58" i="2"/>
  <c r="C68" i="2"/>
  <c r="C52" i="2"/>
  <c r="J52" i="2" s="1"/>
  <c r="U50" i="2" s="1"/>
  <c r="C36" i="2"/>
  <c r="J36" i="2" s="1"/>
  <c r="U34" i="2" s="1"/>
  <c r="C80" i="2"/>
  <c r="J80" i="2" s="1"/>
  <c r="U78" i="2" s="1"/>
  <c r="C32" i="2"/>
  <c r="J32" i="2" s="1"/>
  <c r="U30" i="2" s="1"/>
  <c r="C46" i="2"/>
  <c r="J46" i="2" s="1"/>
  <c r="U44" i="2" s="1"/>
  <c r="C61" i="2"/>
  <c r="J61" i="2" s="1"/>
  <c r="U59" i="2" s="1"/>
  <c r="C28" i="2"/>
  <c r="J28" i="2" s="1"/>
  <c r="U26" i="2" s="1"/>
  <c r="C43" i="2"/>
  <c r="J43" i="2" s="1"/>
  <c r="U41" i="2" s="1"/>
  <c r="C27" i="2"/>
  <c r="J27" i="2" s="1"/>
  <c r="U25" i="2" s="1"/>
  <c r="C73" i="2"/>
  <c r="J73" i="2" s="1"/>
  <c r="U71" i="2" s="1"/>
  <c r="C25" i="2"/>
  <c r="J25" i="2" s="1"/>
  <c r="U23" i="2" s="1"/>
  <c r="C24" i="2"/>
  <c r="J24" i="2" s="1"/>
  <c r="U22" i="2" s="1"/>
  <c r="C22" i="2"/>
  <c r="C67" i="2"/>
  <c r="C51" i="2"/>
  <c r="C35" i="2"/>
  <c r="C48" i="2"/>
  <c r="C47" i="2"/>
  <c r="C62" i="2"/>
  <c r="J62" i="2" s="1"/>
  <c r="U60" i="2" s="1"/>
  <c r="C77" i="2"/>
  <c r="J77" i="2" s="1"/>
  <c r="U75" i="2" s="1"/>
  <c r="C75" i="2"/>
  <c r="J75" i="2" s="1"/>
  <c r="U73" i="2" s="1"/>
  <c r="C42" i="2"/>
  <c r="J42" i="2" s="1"/>
  <c r="U40" i="2" s="1"/>
  <c r="C72" i="2"/>
  <c r="J72" i="2" s="1"/>
  <c r="U70" i="2" s="1"/>
  <c r="H21" i="2"/>
  <c r="C66" i="2"/>
  <c r="J66" i="2" s="1"/>
  <c r="U64" i="2" s="1"/>
  <c r="C50" i="2"/>
  <c r="J50" i="2" s="1"/>
  <c r="U48" i="2" s="1"/>
  <c r="C34" i="2"/>
  <c r="J34" i="2" s="1"/>
  <c r="U32" i="2" s="1"/>
  <c r="C64" i="2"/>
  <c r="J64" i="2" s="1"/>
  <c r="U62" i="2" s="1"/>
  <c r="C31" i="2"/>
  <c r="J31" i="2" s="1"/>
  <c r="U29" i="2" s="1"/>
  <c r="C78" i="2"/>
  <c r="C45" i="2"/>
  <c r="J45" i="2" s="1"/>
  <c r="U43" i="2" s="1"/>
  <c r="C60" i="2"/>
  <c r="C74" i="2"/>
  <c r="C56" i="2"/>
  <c r="J56" i="2" s="1"/>
  <c r="U54" i="2" s="1"/>
  <c r="C81" i="2"/>
  <c r="J81" i="2" s="1"/>
  <c r="U79" i="2" s="1"/>
  <c r="C65" i="2"/>
  <c r="J65" i="2" s="1"/>
  <c r="U63" i="2" s="1"/>
  <c r="C49" i="2"/>
  <c r="J49" i="2" s="1"/>
  <c r="U47" i="2" s="1"/>
  <c r="C33" i="2"/>
  <c r="J33" i="2" s="1"/>
  <c r="U31" i="2" s="1"/>
  <c r="C63" i="2"/>
  <c r="J63" i="2" s="1"/>
  <c r="U61" i="2" s="1"/>
  <c r="C30" i="2"/>
  <c r="J30" i="2" s="1"/>
  <c r="U28" i="2" s="1"/>
  <c r="C76" i="2"/>
  <c r="J76" i="2" s="1"/>
  <c r="U74" i="2" s="1"/>
  <c r="C79" i="2"/>
  <c r="J79" i="2" s="1"/>
  <c r="U77" i="2" s="1"/>
  <c r="C57" i="2"/>
  <c r="J57" i="2" s="1"/>
  <c r="U55" i="2" s="1"/>
  <c r="C41" i="2"/>
  <c r="J41" i="2" s="1"/>
  <c r="U39" i="2" s="1"/>
  <c r="J98" i="2"/>
  <c r="U96" i="2" s="1"/>
  <c r="J82" i="2"/>
  <c r="U80" i="2" s="1"/>
  <c r="J89" i="2"/>
  <c r="U87" i="2" s="1"/>
  <c r="J96" i="2"/>
  <c r="U94" i="2" s="1"/>
  <c r="J104" i="2"/>
  <c r="U102" i="2" s="1"/>
  <c r="J91" i="2"/>
  <c r="U89" i="2" s="1"/>
  <c r="J93" i="2"/>
  <c r="U91" i="2" s="1"/>
  <c r="J84" i="2"/>
  <c r="U82" i="2" s="1"/>
  <c r="J94" i="2"/>
  <c r="U92" i="2" s="1"/>
  <c r="J102" i="2"/>
  <c r="U100" i="2" s="1"/>
  <c r="J85" i="2"/>
  <c r="U83" i="2" s="1"/>
  <c r="J92" i="2"/>
  <c r="U90" i="2" s="1"/>
  <c r="J100" i="2"/>
  <c r="U98" i="2" s="1"/>
  <c r="J87" i="2"/>
  <c r="U85" i="2" s="1"/>
  <c r="J83" i="2"/>
  <c r="U81" i="2" s="1"/>
  <c r="J101" i="2"/>
  <c r="U99" i="2" s="1"/>
  <c r="J103" i="2"/>
  <c r="U101" i="2" s="1"/>
  <c r="J90" i="2"/>
  <c r="U88" i="2" s="1"/>
  <c r="J97" i="2"/>
  <c r="U95" i="2" s="1"/>
  <c r="J105" i="2"/>
  <c r="U103" i="2" s="1"/>
  <c r="J88" i="2"/>
  <c r="U86" i="2" s="1"/>
  <c r="J99" i="2"/>
  <c r="U97" i="2" s="1"/>
  <c r="J86" i="2"/>
  <c r="U84" i="2" s="1"/>
  <c r="J95" i="2"/>
  <c r="U93" i="2" s="1"/>
  <c r="J23" i="2"/>
  <c r="U21" i="2" s="1"/>
  <c r="J35" i="2"/>
  <c r="U33" i="2" s="1"/>
  <c r="J47" i="2"/>
  <c r="U45" i="2" s="1"/>
  <c r="J55" i="2"/>
  <c r="U53" i="2" s="1"/>
  <c r="J71" i="2"/>
  <c r="U69" i="2" s="1"/>
  <c r="J39" i="2"/>
  <c r="U37" i="2" s="1"/>
  <c r="J51" i="2"/>
  <c r="U49" i="2" s="1"/>
  <c r="J67" i="2"/>
  <c r="U65" i="2" s="1"/>
  <c r="J48" i="2"/>
  <c r="U46" i="2" s="1"/>
  <c r="J44" i="2"/>
  <c r="U42" i="2" s="1"/>
  <c r="J60" i="2"/>
  <c r="U58" i="2" s="1"/>
  <c r="J68" i="2"/>
  <c r="U66" i="2" s="1"/>
  <c r="J58" i="2"/>
  <c r="U56" i="2" s="1"/>
  <c r="J74" i="2"/>
  <c r="U72" i="2" s="1"/>
  <c r="J78" i="2"/>
  <c r="U76" i="2" s="1"/>
  <c r="N2" i="3" l="1"/>
  <c r="T2" i="3"/>
  <c r="P11" i="3"/>
  <c r="S11" i="3"/>
  <c r="W1" i="3"/>
  <c r="V85" i="2" l="1"/>
  <c r="V81" i="2"/>
  <c r="V93" i="2"/>
  <c r="V95" i="2"/>
  <c r="V84" i="2"/>
  <c r="V89" i="2"/>
  <c r="V94" i="2"/>
  <c r="V83" i="2"/>
  <c r="V100" i="2"/>
  <c r="V90" i="2"/>
  <c r="V80" i="2"/>
  <c r="V102" i="2"/>
  <c r="V91" i="2"/>
  <c r="V88" i="2"/>
  <c r="V101" i="2"/>
  <c r="V87" i="2"/>
  <c r="V97" i="2"/>
  <c r="V86" i="2"/>
  <c r="V98" i="2"/>
  <c r="V103" i="2"/>
  <c r="V96" i="2"/>
  <c r="V92" i="2"/>
  <c r="V82" i="2"/>
  <c r="V99" i="2"/>
  <c r="V75" i="2"/>
  <c r="V76" i="2"/>
  <c r="V69" i="2"/>
  <c r="V79" i="2"/>
  <c r="V74" i="2"/>
  <c r="V77" i="2"/>
  <c r="V78" i="2"/>
  <c r="V73" i="2"/>
  <c r="V72" i="2"/>
  <c r="V71" i="2"/>
  <c r="V70" i="2"/>
  <c r="V68" i="2"/>
  <c r="V23" i="2"/>
  <c r="V27" i="2"/>
  <c r="V31" i="2"/>
  <c r="V35" i="2"/>
  <c r="V39" i="2"/>
  <c r="V43" i="2"/>
  <c r="V47" i="2"/>
  <c r="V51" i="2"/>
  <c r="V55" i="2"/>
  <c r="V59" i="2"/>
  <c r="V63" i="2"/>
  <c r="V67" i="2"/>
  <c r="V26" i="2"/>
  <c r="V34" i="2"/>
  <c r="V46" i="2"/>
  <c r="V54" i="2"/>
  <c r="V62" i="2"/>
  <c r="V24" i="2"/>
  <c r="V28" i="2"/>
  <c r="V32" i="2"/>
  <c r="V36" i="2"/>
  <c r="V40" i="2"/>
  <c r="V44" i="2"/>
  <c r="V48" i="2"/>
  <c r="V52" i="2"/>
  <c r="V56" i="2"/>
  <c r="V60" i="2"/>
  <c r="V64" i="2"/>
  <c r="V21" i="2"/>
  <c r="V25" i="2"/>
  <c r="V29" i="2"/>
  <c r="V33" i="2"/>
  <c r="V37" i="2"/>
  <c r="V41" i="2"/>
  <c r="V45" i="2"/>
  <c r="V49" i="2"/>
  <c r="V53" i="2"/>
  <c r="V57" i="2"/>
  <c r="V61" i="2"/>
  <c r="V65" i="2"/>
  <c r="V22" i="2"/>
  <c r="V30" i="2"/>
  <c r="V38" i="2"/>
  <c r="V42" i="2"/>
  <c r="V50" i="2"/>
  <c r="V58" i="2"/>
  <c r="V66" i="2"/>
  <c r="T11" i="3"/>
  <c r="R11" i="3"/>
  <c r="A22" i="2" l="1"/>
  <c r="J22" i="2" l="1"/>
  <c r="G22" i="2" s="1"/>
  <c r="W21" i="2" l="1"/>
  <c r="E22" i="2" s="1"/>
  <c r="F16" i="2" l="1"/>
  <c r="H22" i="2"/>
  <c r="G23" i="2" s="1"/>
  <c r="D22" i="2"/>
  <c r="F22" i="2"/>
  <c r="A23" i="2" l="1"/>
  <c r="E23" i="2" s="1"/>
  <c r="D23" i="2" s="1"/>
  <c r="F23" i="2" l="1"/>
  <c r="H23" i="2"/>
  <c r="G24" i="2" l="1"/>
  <c r="A24" i="2"/>
  <c r="E24" i="2" l="1"/>
  <c r="H24" i="2" s="1"/>
  <c r="F24" i="2" l="1"/>
  <c r="D24" i="2"/>
  <c r="A25" i="2"/>
  <c r="G25" i="2"/>
  <c r="E25" i="2" l="1"/>
  <c r="D25" i="2" s="1"/>
  <c r="F25" i="2" l="1"/>
  <c r="H25" i="2"/>
  <c r="A26" i="2" l="1"/>
  <c r="G26" i="2"/>
  <c r="E26" i="2" l="1"/>
  <c r="D26" i="2" s="1"/>
  <c r="F26" i="2" l="1"/>
  <c r="H26" i="2"/>
  <c r="A27" i="2" s="1"/>
  <c r="G27" i="2"/>
  <c r="E27" i="2" s="1"/>
  <c r="D27" i="2" s="1"/>
  <c r="F27" i="2" l="1"/>
  <c r="H27" i="2"/>
  <c r="G28" i="2" s="1"/>
  <c r="A28" i="2" l="1"/>
  <c r="E28" i="2" s="1"/>
  <c r="D28" i="2" s="1"/>
  <c r="F28" i="2" l="1"/>
  <c r="H28" i="2"/>
  <c r="G29" i="2" l="1"/>
  <c r="A29" i="2"/>
  <c r="E29" i="2" l="1"/>
  <c r="H29" i="2" s="1"/>
  <c r="G30" i="2" l="1"/>
  <c r="A30" i="2"/>
  <c r="D29" i="2"/>
  <c r="F29" i="2"/>
  <c r="E30" i="2" l="1"/>
  <c r="H30" i="2" s="1"/>
  <c r="A31" i="2" s="1"/>
  <c r="F30" i="2" l="1"/>
  <c r="D30" i="2"/>
  <c r="G31" i="2"/>
  <c r="E31" i="2" s="1"/>
  <c r="D31" i="2" l="1"/>
  <c r="F31" i="2"/>
  <c r="H31" i="2"/>
  <c r="A32" i="2" l="1"/>
  <c r="G32" i="2"/>
  <c r="E32" i="2" l="1"/>
  <c r="D32" i="2" s="1"/>
  <c r="H32" i="2" l="1"/>
  <c r="A33" i="2" s="1"/>
  <c r="F32" i="2"/>
  <c r="G33" i="2" l="1"/>
  <c r="E33" i="2" s="1"/>
  <c r="D33" i="2" s="1"/>
  <c r="H33" i="2" l="1"/>
  <c r="G34" i="2" s="1"/>
  <c r="F33" i="2"/>
  <c r="A34" i="2" l="1"/>
  <c r="E34" i="2" s="1"/>
  <c r="D34" i="2" s="1"/>
  <c r="H34" i="2" l="1"/>
  <c r="A35" i="2" s="1"/>
  <c r="F34" i="2"/>
  <c r="G35" i="2" l="1"/>
  <c r="E35" i="2" s="1"/>
  <c r="D35" i="2" s="1"/>
  <c r="H35" i="2" l="1"/>
  <c r="G36" i="2" s="1"/>
  <c r="F35" i="2"/>
  <c r="A36" i="2" l="1"/>
  <c r="E36" i="2" s="1"/>
  <c r="H36" i="2" l="1"/>
  <c r="G37" i="2" s="1"/>
  <c r="D36" i="2"/>
  <c r="F36" i="2"/>
  <c r="A37" i="2" l="1"/>
  <c r="E37" i="2" s="1"/>
  <c r="D37" i="2" l="1"/>
  <c r="F37" i="2"/>
  <c r="H37" i="2"/>
  <c r="G38" i="2" l="1"/>
  <c r="A38" i="2"/>
  <c r="E38" i="2" l="1"/>
  <c r="H38" i="2" s="1"/>
  <c r="A39" i="2" l="1"/>
  <c r="G39" i="2"/>
  <c r="D38" i="2"/>
  <c r="F38" i="2"/>
  <c r="E39" i="2" l="1"/>
  <c r="H39" i="2" s="1"/>
  <c r="A40" i="2" s="1"/>
  <c r="D39" i="2" l="1"/>
  <c r="G40" i="2"/>
  <c r="E40" i="2" s="1"/>
  <c r="F39" i="2"/>
  <c r="H40" i="2" l="1"/>
  <c r="A41" i="2" s="1"/>
  <c r="F40" i="2"/>
  <c r="D40" i="2"/>
  <c r="G41" i="2" l="1"/>
  <c r="E41" i="2" s="1"/>
  <c r="D41" i="2" s="1"/>
  <c r="H41" i="2" l="1"/>
  <c r="F41" i="2"/>
  <c r="A42" i="2"/>
  <c r="G42" i="2"/>
  <c r="E42" i="2" l="1"/>
  <c r="D42" i="2" s="1"/>
  <c r="H42" i="2" l="1"/>
  <c r="G43" i="2" s="1"/>
  <c r="F42" i="2"/>
  <c r="A43" i="2" l="1"/>
  <c r="E43" i="2" s="1"/>
  <c r="H43" i="2" s="1"/>
  <c r="G44" i="2" s="1"/>
  <c r="F43" i="2" l="1"/>
  <c r="D43" i="2"/>
  <c r="A44" i="2"/>
  <c r="E44" i="2" s="1"/>
  <c r="D44" i="2" l="1"/>
  <c r="F44" i="2"/>
  <c r="H44" i="2"/>
  <c r="G45" i="2" s="1"/>
  <c r="A45" i="2" l="1"/>
  <c r="E45" i="2" s="1"/>
  <c r="D45" i="2" s="1"/>
  <c r="F45" i="2" l="1"/>
  <c r="H45" i="2"/>
  <c r="G46" i="2" s="1"/>
  <c r="A46" i="2" l="1"/>
  <c r="E46" i="2" s="1"/>
  <c r="D46" i="2" s="1"/>
  <c r="F46" i="2" l="1"/>
  <c r="H46" i="2"/>
  <c r="A47" i="2" s="1"/>
  <c r="G47" i="2" l="1"/>
  <c r="E47" i="2" s="1"/>
  <c r="D47" i="2" s="1"/>
  <c r="F47" i="2" l="1"/>
  <c r="H47" i="2"/>
  <c r="A48" i="2" l="1"/>
  <c r="G48" i="2"/>
  <c r="E48" i="2" l="1"/>
  <c r="H48" i="2" s="1"/>
  <c r="A49" i="2" l="1"/>
  <c r="G49" i="2"/>
  <c r="D48" i="2"/>
  <c r="F48" i="2"/>
  <c r="E49" i="2" l="1"/>
  <c r="D49" i="2" s="1"/>
  <c r="F49" i="2" l="1"/>
  <c r="H49" i="2"/>
  <c r="A50" i="2" s="1"/>
  <c r="G50" i="2" l="1"/>
  <c r="E50" i="2" s="1"/>
  <c r="D50" i="2" s="1"/>
  <c r="F50" i="2" l="1"/>
  <c r="H50" i="2"/>
  <c r="A51" i="2" l="1"/>
  <c r="G51" i="2"/>
  <c r="E51" i="2" l="1"/>
  <c r="H51" i="2" s="1"/>
  <c r="A52" i="2" s="1"/>
  <c r="D51" i="2" l="1"/>
  <c r="F51" i="2"/>
  <c r="G52" i="2"/>
  <c r="E52" i="2" s="1"/>
  <c r="H52" i="2" s="1"/>
  <c r="A53" i="2" s="1"/>
  <c r="D52" i="2" l="1"/>
  <c r="F52" i="2"/>
  <c r="G53" i="2"/>
  <c r="E53" i="2" s="1"/>
  <c r="F53" i="2" s="1"/>
  <c r="H53" i="2" l="1"/>
  <c r="A54" i="2" s="1"/>
  <c r="D53" i="2"/>
  <c r="G54" i="2" l="1"/>
  <c r="E54" i="2" s="1"/>
  <c r="D54" i="2" s="1"/>
  <c r="F54" i="2" l="1"/>
  <c r="H54" i="2"/>
  <c r="A55" i="2" s="1"/>
  <c r="G55" i="2" l="1"/>
  <c r="E55" i="2" s="1"/>
  <c r="F55" i="2" s="1"/>
  <c r="D55" i="2"/>
  <c r="H55" i="2" l="1"/>
  <c r="G56" i="2" s="1"/>
  <c r="E56" i="2" l="1"/>
  <c r="D56" i="2" s="1"/>
  <c r="A56" i="2"/>
  <c r="H56" i="2"/>
  <c r="G57" i="2" s="1"/>
  <c r="F56" i="2" l="1"/>
  <c r="A57" i="2"/>
  <c r="E57" i="2" s="1"/>
  <c r="F57" i="2" s="1"/>
  <c r="D57" i="2" l="1"/>
  <c r="H57" i="2"/>
  <c r="A58" i="2" s="1"/>
  <c r="G58" i="2" l="1"/>
  <c r="E58" i="2" s="1"/>
  <c r="F58" i="2" s="1"/>
  <c r="D58" i="2" l="1"/>
  <c r="H58" i="2"/>
  <c r="A59" i="2" s="1"/>
  <c r="G59" i="2"/>
  <c r="E59" i="2" s="1"/>
  <c r="D59" i="2" l="1"/>
  <c r="F59" i="2"/>
  <c r="H59" i="2"/>
  <c r="G60" i="2" l="1"/>
  <c r="A60" i="2"/>
  <c r="E60" i="2" l="1"/>
  <c r="D60" i="2" s="1"/>
  <c r="F60" i="2" l="1"/>
  <c r="H60" i="2"/>
  <c r="G61" i="2"/>
  <c r="A61" i="2"/>
  <c r="E61" i="2" l="1"/>
  <c r="D61" i="2" s="1"/>
  <c r="H61" i="2" l="1"/>
  <c r="A62" i="2" s="1"/>
  <c r="F61" i="2"/>
  <c r="G62" i="2" l="1"/>
  <c r="E62" i="2"/>
  <c r="D62" i="2" s="1"/>
  <c r="F62" i="2" l="1"/>
  <c r="H62" i="2"/>
  <c r="A63" i="2" l="1"/>
  <c r="G63" i="2"/>
  <c r="E63" i="2" l="1"/>
  <c r="H63" i="2" s="1"/>
  <c r="G64" i="2" l="1"/>
  <c r="A64" i="2"/>
  <c r="D63" i="2"/>
  <c r="F63" i="2"/>
  <c r="E64" i="2" l="1"/>
  <c r="D64" i="2" s="1"/>
  <c r="F64" i="2" l="1"/>
  <c r="H64" i="2"/>
  <c r="G65" i="2" s="1"/>
  <c r="A65" i="2" l="1"/>
  <c r="E65" i="2" s="1"/>
  <c r="H65" i="2" s="1"/>
  <c r="F65" i="2" l="1"/>
  <c r="D65" i="2"/>
  <c r="G66" i="2"/>
  <c r="A66" i="2"/>
  <c r="E66" i="2" l="1"/>
  <c r="D66" i="2" s="1"/>
  <c r="H66" i="2" l="1"/>
  <c r="F66" i="2"/>
  <c r="A67" i="2"/>
  <c r="G67" i="2"/>
  <c r="E67" i="2" s="1"/>
  <c r="D67" i="2" s="1"/>
  <c r="H67" i="2" l="1"/>
  <c r="A68" i="2" s="1"/>
  <c r="F67" i="2"/>
  <c r="G68" i="2" l="1"/>
  <c r="E68" i="2" s="1"/>
  <c r="D68" i="2" s="1"/>
  <c r="H68" i="2" l="1"/>
  <c r="F68" i="2"/>
  <c r="G69" i="2"/>
  <c r="A69" i="2"/>
  <c r="E69" i="2" l="1"/>
  <c r="D69" i="2" s="1"/>
  <c r="H69" i="2" l="1"/>
  <c r="F69" i="2"/>
  <c r="A70" i="2"/>
  <c r="G70" i="2"/>
  <c r="E70" i="2" s="1"/>
  <c r="H70" i="2" s="1"/>
  <c r="G71" i="2" l="1"/>
  <c r="A71" i="2"/>
  <c r="D70" i="2"/>
  <c r="F70" i="2"/>
  <c r="E71" i="2" l="1"/>
  <c r="D71" i="2" s="1"/>
  <c r="H71" i="2" l="1"/>
  <c r="A72" i="2" s="1"/>
  <c r="F71" i="2"/>
  <c r="G72" i="2"/>
  <c r="E72" i="2" l="1"/>
  <c r="H72" i="2" s="1"/>
  <c r="A73" i="2" s="1"/>
  <c r="F72" i="2" l="1"/>
  <c r="D72" i="2"/>
  <c r="G73" i="2"/>
  <c r="E73" i="2" s="1"/>
  <c r="H73" i="2" s="1"/>
  <c r="G74" i="2" s="1"/>
  <c r="E74" i="2" l="1"/>
  <c r="H74" i="2" s="1"/>
  <c r="G75" i="2" s="1"/>
  <c r="A74" i="2"/>
  <c r="F73" i="2"/>
  <c r="D73" i="2"/>
  <c r="F74" i="2" l="1"/>
  <c r="A75" i="2"/>
  <c r="E75" i="2" s="1"/>
  <c r="D74" i="2"/>
  <c r="D75" i="2" l="1"/>
  <c r="H75" i="2"/>
  <c r="A76" i="2" s="1"/>
  <c r="F75" i="2"/>
  <c r="G76" i="2"/>
  <c r="E76" i="2" s="1"/>
  <c r="D76" i="2" s="1"/>
  <c r="H76" i="2" l="1"/>
  <c r="A77" i="2" s="1"/>
  <c r="F76" i="2"/>
  <c r="G77" i="2" l="1"/>
  <c r="E77" i="2" s="1"/>
  <c r="D77" i="2" s="1"/>
  <c r="F77" i="2" l="1"/>
  <c r="H77" i="2"/>
  <c r="A78" i="2" l="1"/>
  <c r="G78" i="2"/>
  <c r="E78" i="2" l="1"/>
  <c r="D78" i="2" s="1"/>
  <c r="F78" i="2" l="1"/>
  <c r="H78" i="2"/>
  <c r="G79" i="2" l="1"/>
  <c r="A79" i="2"/>
  <c r="E79" i="2" l="1"/>
  <c r="D79" i="2" s="1"/>
  <c r="H79" i="2" l="1"/>
  <c r="A80" i="2" s="1"/>
  <c r="F79" i="2"/>
  <c r="G80" i="2" l="1"/>
  <c r="E80" i="2" s="1"/>
  <c r="D80" i="2" s="1"/>
  <c r="F80" i="2" l="1"/>
  <c r="H80" i="2"/>
  <c r="A81" i="2" s="1"/>
  <c r="G81" i="2"/>
  <c r="G21" i="2" s="1"/>
  <c r="F17" i="2" s="1"/>
  <c r="F18" i="2" s="1"/>
  <c r="E81" i="2" l="1"/>
  <c r="D81" i="2" s="1"/>
  <c r="F19" i="2"/>
  <c r="H81" i="2" l="1"/>
  <c r="F81" i="2"/>
  <c r="F21" i="2" s="1"/>
</calcChain>
</file>

<file path=xl/sharedStrings.xml><?xml version="1.0" encoding="utf-8"?>
<sst xmlns="http://schemas.openxmlformats.org/spreadsheetml/2006/main" count="78" uniqueCount="65">
  <si>
    <t>№</t>
  </si>
  <si>
    <t>Продукт</t>
  </si>
  <si>
    <t>Страх. Тариф
Do not Use</t>
  </si>
  <si>
    <t>Розрахунок кредиту</t>
  </si>
  <si>
    <t>Термін кредиту, міс</t>
  </si>
  <si>
    <t>Щомісячна комісія, %</t>
  </si>
  <si>
    <t>Одноразова комісія, %</t>
  </si>
  <si>
    <t>Дата платежу</t>
  </si>
  <si>
    <t>Щомісячний платіж</t>
  </si>
  <si>
    <t>Тіло кредиту</t>
  </si>
  <si>
    <t>Відсотки</t>
  </si>
  <si>
    <t>Залишок тіла кредиту</t>
  </si>
  <si>
    <t xml:space="preserve">Назва продукту </t>
  </si>
  <si>
    <t>відсутня</t>
  </si>
  <si>
    <r>
      <t xml:space="preserve">Одноразова комісія за видачу кредиту </t>
    </r>
    <r>
      <rPr>
        <sz val="10"/>
        <color rgb="FF000000"/>
        <rFont val="Calibri"/>
        <family val="2"/>
        <charset val="204"/>
      </rPr>
      <t>(включена в щомісячний платіж)</t>
    </r>
    <r>
      <rPr>
        <b/>
        <sz val="10"/>
        <color rgb="FF000000"/>
        <rFont val="Calibri"/>
        <family val="2"/>
        <charset val="204"/>
      </rPr>
      <t>, %</t>
    </r>
  </si>
  <si>
    <t>Параметри продукту</t>
  </si>
  <si>
    <t>Standart</t>
  </si>
  <si>
    <t>#</t>
  </si>
  <si>
    <t>Назва продукту</t>
  </si>
  <si>
    <t>Термін Grace, міс.</t>
  </si>
  <si>
    <t>Комісія в Grace</t>
  </si>
  <si>
    <t>Річна ставка в Grace, %</t>
  </si>
  <si>
    <t>Річна ставка</t>
  </si>
  <si>
    <t>Щоміс.комісія</t>
  </si>
  <si>
    <t>Разова комісія</t>
  </si>
  <si>
    <t>Мін.сума, грн</t>
  </si>
  <si>
    <t>Макс.сума, грн</t>
  </si>
  <si>
    <t>Ліміти</t>
  </si>
  <si>
    <t>Термін, мін</t>
  </si>
  <si>
    <t>Термін, макс</t>
  </si>
  <si>
    <t>Термін, міс</t>
  </si>
  <si>
    <t>Мін.вік</t>
  </si>
  <si>
    <t>Макс.вік</t>
  </si>
  <si>
    <t>Примітка</t>
  </si>
  <si>
    <t>Стаж роботи</t>
  </si>
  <si>
    <t>Мінімальний дохід, грн</t>
  </si>
  <si>
    <t>Product type</t>
  </si>
  <si>
    <t>Subtype</t>
  </si>
  <si>
    <t>big</t>
  </si>
  <si>
    <t>Загальна вартість кредиту</t>
  </si>
  <si>
    <t>Реальна річна процентна ставка</t>
  </si>
  <si>
    <t xml:space="preserve">Щомісячний платіж </t>
  </si>
  <si>
    <t>Загальні витрати за кредитом</t>
  </si>
  <si>
    <t>Термін пільгового періоду</t>
  </si>
  <si>
    <t>Річна ставка в пільговий період, %</t>
  </si>
  <si>
    <t>Бажана сума, грн.</t>
  </si>
  <si>
    <t>Сума кредиту, грн</t>
  </si>
  <si>
    <t>УМОВИ КРЕДИТУВАННЯ ВІД 
"OTP BANK"</t>
  </si>
  <si>
    <t>Термін кредиту, міс.</t>
  </si>
  <si>
    <t>Річна ставка після пільгового періоду %</t>
  </si>
  <si>
    <t>Термін пільгового періоду, міс</t>
  </si>
  <si>
    <t>Річна ставка після пільгового періоду, %</t>
  </si>
  <si>
    <t>Універсальний Beauty</t>
  </si>
  <si>
    <t>Beauty</t>
  </si>
  <si>
    <t>Beauty 2M</t>
  </si>
  <si>
    <t>Beauty 3M</t>
  </si>
  <si>
    <t>Beauty 5M</t>
  </si>
  <si>
    <t>Beauty 6M</t>
  </si>
  <si>
    <t>Beauty 9M</t>
  </si>
  <si>
    <t>Beauty 10M</t>
  </si>
  <si>
    <t>Beauty 12M</t>
  </si>
  <si>
    <t>-</t>
  </si>
  <si>
    <t>XIRR</t>
  </si>
  <si>
    <t>min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</si>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</sst>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-* #,##0.00_₴_-;\-* #,##0.00_₴_-;_-* &quot;-&quot;??_₴_-;_-@_-"/>
    <numFmt numFmtId="166" formatCode="_-* #,##0.00\ _г_р_н_._-;\-* #,##0.00\ _г_р_н_._-;_-* &quot;-&quot;??\ _г_р_н_._-;_-@_-"/>
    <numFmt numFmtId="167" formatCode="_-* #,##0.00_р_._-;\-* #,##0.00_р_._-;_-* &quot;-&quot;??_р_._-;_-@_-"/>
    <numFmt numFmtId="168" formatCode="_-* #,##0.00\ [$грн.-422]_-;\-* #,##0.00\ [$грн.-422]_-;_-* &quot;-&quot;??\ [$грн.-422]_-;_-@_-"/>
    <numFmt numFmtId="169" formatCode="_-* #,##0.00_р_._-;\-* #,##0.00_р_._-;_-* \-??_р_._-;_-@_-"/>
    <numFmt numFmtId="170" formatCode="_-* #,##0.00&quot;р.&quot;_-;\-* #,##0.00&quot;р.&quot;_-;_-* &quot;-&quot;??&quot;р.&quot;_-;_-@_-"/>
    <numFmt numFmtId="171" formatCode="_-* #,##0\ [$грн.-422]_-;\-* #,##0\ [$грн.-422]_-;_-* &quot;-&quot;??\ [$грн.-422]_-;_-@_-"/>
  </numFmts>
  <fonts count="31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4"/>
      <name val="Formata OTP Lig"/>
      <family val="2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theme="0" tint="-0.34998626667073579"/>
      <name val="Calibri"/>
      <family val="2"/>
      <charset val="204"/>
      <scheme val="minor"/>
    </font>
    <font>
      <b/>
      <i/>
      <sz val="11"/>
      <color theme="3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b/>
      <i/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0" tint="-0.34998626667073579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0" tint="-4.9989318521683403E-2"/>
      <name val="Calibri"/>
      <family val="2"/>
      <charset val="204"/>
      <scheme val="minor"/>
    </font>
    <font>
      <sz val="10"/>
      <color theme="0" tint="-0.249977111117893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i/>
      <sz val="12"/>
      <color rgb="FF04543B"/>
      <name val="Formata OTP Lig"/>
      <family val="2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FEF79C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gradientFill degree="90">
        <stop position="0">
          <color rgb="FF92D050"/>
        </stop>
        <stop position="0.5">
          <color theme="6" tint="0.80001220740379042"/>
        </stop>
        <stop position="1">
          <color rgb="FF92D050"/>
        </stop>
      </gradientFill>
    </fill>
    <fill>
      <patternFill patternType="solid">
        <fgColor theme="1"/>
        <bgColor indexed="64"/>
      </patternFill>
    </fill>
    <fill>
      <gradientFill degree="180">
        <stop position="0">
          <color theme="0"/>
        </stop>
        <stop position="1">
          <color theme="0" tint="-0.25098422193060094"/>
        </stop>
      </gradientFill>
    </fill>
    <fill>
      <patternFill patternType="solid">
        <fgColor rgb="FFFF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double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04">
    <xf numFmtId="0" fontId="0" fillId="0" borderId="0"/>
    <xf numFmtId="169" fontId="7" fillId="0" borderId="0" applyFill="0" applyBorder="0" applyAlignment="0" applyProtection="0"/>
    <xf numFmtId="167" fontId="5" fillId="0" borderId="0" applyFont="0" applyFill="0" applyBorder="0" applyAlignment="0" applyProtection="0"/>
    <xf numFmtId="0" fontId="6" fillId="0" borderId="0"/>
    <xf numFmtId="0" fontId="5" fillId="0" borderId="0"/>
    <xf numFmtId="9" fontId="7" fillId="0" borderId="0" applyFill="0" applyBorder="0" applyAlignment="0" applyProtection="0"/>
    <xf numFmtId="9" fontId="5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10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left"/>
    </xf>
    <xf numFmtId="10" fontId="18" fillId="0" borderId="0" xfId="49" applyNumberFormat="1" applyFont="1" applyFill="1"/>
    <xf numFmtId="10" fontId="11" fillId="3" borderId="4" xfId="41" applyNumberFormat="1" applyFont="1" applyFill="1" applyBorder="1" applyAlignment="1" applyProtection="1">
      <alignment horizontal="center" vertical="center"/>
      <protection hidden="1"/>
    </xf>
    <xf numFmtId="10" fontId="11" fillId="3" borderId="4" xfId="50" applyNumberFormat="1" applyFont="1" applyFill="1" applyBorder="1" applyAlignment="1" applyProtection="1">
      <alignment horizontal="center" vertical="center"/>
      <protection hidden="1"/>
    </xf>
    <xf numFmtId="168" fontId="11" fillId="3" borderId="4" xfId="41" applyNumberFormat="1" applyFont="1" applyFill="1" applyBorder="1" applyAlignment="1" applyProtection="1">
      <alignment vertical="top" wrapText="1"/>
      <protection hidden="1"/>
    </xf>
    <xf numFmtId="0" fontId="11" fillId="3" borderId="4" xfId="41" applyFont="1" applyFill="1" applyBorder="1" applyAlignment="1" applyProtection="1">
      <alignment horizontal="center"/>
      <protection hidden="1"/>
    </xf>
    <xf numFmtId="0" fontId="20" fillId="0" borderId="0" xfId="47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47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/>
    </xf>
    <xf numFmtId="2" fontId="20" fillId="0" borderId="0" xfId="47" applyNumberFormat="1" applyFont="1" applyAlignment="1">
      <alignment horizontal="center" vertical="center"/>
    </xf>
    <xf numFmtId="10" fontId="11" fillId="3" borderId="4" xfId="49" applyNumberFormat="1" applyFont="1" applyFill="1" applyBorder="1" applyAlignment="1" applyProtection="1">
      <alignment horizontal="center"/>
      <protection hidden="1"/>
    </xf>
    <xf numFmtId="0" fontId="13" fillId="0" borderId="0" xfId="15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3" fillId="0" borderId="0" xfId="14" applyFont="1" applyAlignment="1" applyProtection="1">
      <alignment horizontal="center" wrapText="1"/>
      <protection hidden="1"/>
    </xf>
    <xf numFmtId="0" fontId="23" fillId="0" borderId="0" xfId="15" applyFont="1" applyProtection="1">
      <protection hidden="1"/>
    </xf>
    <xf numFmtId="0" fontId="0" fillId="8" borderId="0" xfId="0" applyFill="1" applyProtection="1">
      <protection hidden="1"/>
    </xf>
    <xf numFmtId="0" fontId="19" fillId="8" borderId="0" xfId="0" applyFont="1" applyFill="1" applyProtection="1">
      <protection hidden="1"/>
    </xf>
    <xf numFmtId="0" fontId="0" fillId="8" borderId="0" xfId="0" applyFill="1"/>
    <xf numFmtId="0" fontId="12" fillId="8" borderId="0" xfId="41" applyFont="1" applyFill="1" applyAlignment="1" applyProtection="1">
      <alignment vertical="center"/>
      <protection hidden="1"/>
    </xf>
    <xf numFmtId="14" fontId="14" fillId="8" borderId="0" xfId="14" applyNumberFormat="1" applyFont="1" applyFill="1" applyProtection="1">
      <protection hidden="1"/>
    </xf>
    <xf numFmtId="0" fontId="11" fillId="8" borderId="0" xfId="41" applyFont="1" applyFill="1" applyProtection="1">
      <protection hidden="1"/>
    </xf>
    <xf numFmtId="0" fontId="11" fillId="0" borderId="0" xfId="14" applyFont="1" applyProtection="1">
      <protection hidden="1"/>
    </xf>
    <xf numFmtId="14" fontId="11" fillId="0" borderId="0" xfId="14" applyNumberFormat="1" applyFont="1" applyProtection="1">
      <protection hidden="1"/>
    </xf>
    <xf numFmtId="4" fontId="11" fillId="0" borderId="0" xfId="14" applyNumberFormat="1" applyFont="1" applyProtection="1">
      <protection hidden="1"/>
    </xf>
    <xf numFmtId="0" fontId="11" fillId="3" borderId="1" xfId="14" applyFont="1" applyFill="1" applyBorder="1" applyAlignment="1" applyProtection="1">
      <alignment horizontal="center" vertical="center" wrapText="1"/>
      <protection hidden="1"/>
    </xf>
    <xf numFmtId="0" fontId="16" fillId="3" borderId="2" xfId="14" applyFont="1" applyFill="1" applyBorder="1" applyAlignment="1" applyProtection="1">
      <alignment horizontal="center" vertical="center" wrapText="1"/>
      <protection hidden="1"/>
    </xf>
    <xf numFmtId="0" fontId="16" fillId="3" borderId="1" xfId="14" applyFont="1" applyFill="1" applyBorder="1" applyAlignment="1" applyProtection="1">
      <alignment horizontal="center" vertical="center" wrapText="1"/>
      <protection hidden="1"/>
    </xf>
    <xf numFmtId="4" fontId="11" fillId="5" borderId="1" xfId="14" applyNumberFormat="1" applyFont="1" applyFill="1" applyBorder="1" applyProtection="1">
      <protection hidden="1"/>
    </xf>
    <xf numFmtId="14" fontId="11" fillId="5" borderId="1" xfId="14" applyNumberFormat="1" applyFont="1" applyFill="1" applyBorder="1" applyProtection="1">
      <protection hidden="1"/>
    </xf>
    <xf numFmtId="4" fontId="11" fillId="5" borderId="1" xfId="76" applyNumberFormat="1" applyFont="1" applyFill="1" applyBorder="1" applyProtection="1">
      <protection hidden="1"/>
    </xf>
    <xf numFmtId="2" fontId="0" fillId="8" borderId="0" xfId="0" applyNumberFormat="1" applyFill="1" applyProtection="1">
      <protection hidden="1"/>
    </xf>
    <xf numFmtId="0" fontId="15" fillId="8" borderId="0" xfId="0" applyFont="1" applyFill="1" applyProtection="1">
      <protection hidden="1"/>
    </xf>
    <xf numFmtId="0" fontId="17" fillId="2" borderId="9" xfId="19" applyFont="1" applyFill="1" applyBorder="1" applyAlignment="1">
      <alignment horizontal="center" vertical="center"/>
    </xf>
    <xf numFmtId="0" fontId="11" fillId="9" borderId="11" xfId="19" applyFont="1" applyFill="1" applyBorder="1" applyAlignment="1">
      <alignment horizontal="center" vertical="center"/>
    </xf>
    <xf numFmtId="10" fontId="20" fillId="9" borderId="11" xfId="50" applyNumberFormat="1" applyFont="1" applyFill="1" applyBorder="1" applyAlignment="1">
      <alignment horizontal="center" vertical="center"/>
    </xf>
    <xf numFmtId="10" fontId="20" fillId="9" borderId="12" xfId="50" applyNumberFormat="1" applyFont="1" applyFill="1" applyBorder="1" applyAlignment="1">
      <alignment horizontal="center" vertical="center"/>
    </xf>
    <xf numFmtId="10" fontId="11" fillId="9" borderId="12" xfId="51" applyNumberFormat="1" applyFont="1" applyFill="1" applyBorder="1" applyAlignment="1">
      <alignment horizontal="center" vertical="center"/>
    </xf>
    <xf numFmtId="10" fontId="11" fillId="9" borderId="13" xfId="51" applyNumberFormat="1" applyFont="1" applyFill="1" applyBorder="1" applyAlignment="1">
      <alignment horizontal="center" vertical="center"/>
    </xf>
    <xf numFmtId="4" fontId="11" fillId="9" borderId="14" xfId="77" applyNumberFormat="1" applyFont="1" applyFill="1" applyBorder="1" applyAlignment="1">
      <alignment horizontal="center" vertical="center"/>
    </xf>
    <xf numFmtId="4" fontId="11" fillId="9" borderId="10" xfId="77" applyNumberFormat="1" applyFont="1" applyFill="1" applyBorder="1" applyAlignment="1">
      <alignment horizontal="center" vertical="center"/>
    </xf>
    <xf numFmtId="2" fontId="11" fillId="9" borderId="15" xfId="19" applyNumberFormat="1" applyFont="1" applyFill="1" applyBorder="1" applyAlignment="1">
      <alignment horizontal="center" vertical="center"/>
    </xf>
    <xf numFmtId="0" fontId="20" fillId="9" borderId="14" xfId="47" applyFont="1" applyFill="1" applyBorder="1" applyAlignment="1">
      <alignment horizontal="center" vertical="center"/>
    </xf>
    <xf numFmtId="0" fontId="20" fillId="9" borderId="10" xfId="47" applyFont="1" applyFill="1" applyBorder="1" applyAlignment="1">
      <alignment horizontal="center" vertical="center"/>
    </xf>
    <xf numFmtId="0" fontId="11" fillId="9" borderId="15" xfId="19" applyFont="1" applyFill="1" applyBorder="1" applyAlignment="1">
      <alignment horizontal="right" vertical="center" indent="1"/>
    </xf>
    <xf numFmtId="10" fontId="22" fillId="9" borderId="10" xfId="19" applyNumberFormat="1" applyFont="1" applyFill="1" applyBorder="1" applyAlignment="1">
      <alignment horizontal="center" vertical="center"/>
    </xf>
    <xf numFmtId="0" fontId="20" fillId="9" borderId="11" xfId="47" applyFont="1" applyFill="1" applyBorder="1" applyAlignment="1">
      <alignment horizontal="center" vertical="center"/>
    </xf>
    <xf numFmtId="10" fontId="11" fillId="9" borderId="15" xfId="19" applyNumberFormat="1" applyFont="1" applyFill="1" applyBorder="1" applyAlignment="1">
      <alignment horizontal="center" vertical="center"/>
    </xf>
    <xf numFmtId="10" fontId="11" fillId="9" borderId="16" xfId="19" applyNumberFormat="1" applyFont="1" applyFill="1" applyBorder="1" applyAlignment="1">
      <alignment horizontal="center" vertical="center"/>
    </xf>
    <xf numFmtId="10" fontId="17" fillId="9" borderId="15" xfId="19" applyNumberFormat="1" applyFont="1" applyFill="1" applyBorder="1" applyAlignment="1">
      <alignment horizontal="center" vertical="center"/>
    </xf>
    <xf numFmtId="0" fontId="27" fillId="4" borderId="17" xfId="47" applyFont="1" applyFill="1" applyBorder="1" applyAlignment="1">
      <alignment horizontal="center" vertical="center"/>
    </xf>
    <xf numFmtId="49" fontId="17" fillId="2" borderId="18" xfId="19" applyNumberFormat="1" applyFont="1" applyFill="1" applyBorder="1" applyAlignment="1">
      <alignment horizontal="center" vertical="center" wrapText="1"/>
    </xf>
    <xf numFmtId="49" fontId="17" fillId="2" borderId="19" xfId="19" applyNumberFormat="1" applyFont="1" applyFill="1" applyBorder="1" applyAlignment="1">
      <alignment horizontal="center" vertical="center" wrapText="1"/>
    </xf>
    <xf numFmtId="0" fontId="17" fillId="2" borderId="20" xfId="19" applyFont="1" applyFill="1" applyBorder="1" applyAlignment="1">
      <alignment horizontal="center" vertical="center" wrapText="1"/>
    </xf>
    <xf numFmtId="49" fontId="17" fillId="2" borderId="21" xfId="19" applyNumberFormat="1" applyFont="1" applyFill="1" applyBorder="1" applyAlignment="1">
      <alignment horizontal="center" vertical="center" wrapText="1"/>
    </xf>
    <xf numFmtId="49" fontId="17" fillId="2" borderId="22" xfId="19" applyNumberFormat="1" applyFont="1" applyFill="1" applyBorder="1" applyAlignment="1">
      <alignment horizontal="center" vertical="center" wrapText="1"/>
    </xf>
    <xf numFmtId="49" fontId="17" fillId="2" borderId="23" xfId="19" applyNumberFormat="1" applyFont="1" applyFill="1" applyBorder="1" applyAlignment="1">
      <alignment horizontal="center" vertical="center" wrapText="1"/>
    </xf>
    <xf numFmtId="2" fontId="17" fillId="2" borderId="24" xfId="19" applyNumberFormat="1" applyFont="1" applyFill="1" applyBorder="1" applyAlignment="1">
      <alignment horizontal="center" vertical="center" wrapText="1"/>
    </xf>
    <xf numFmtId="49" fontId="17" fillId="2" borderId="24" xfId="19" applyNumberFormat="1" applyFont="1" applyFill="1" applyBorder="1" applyAlignment="1">
      <alignment horizontal="center" vertical="center" wrapText="1"/>
    </xf>
    <xf numFmtId="0" fontId="21" fillId="6" borderId="19" xfId="19" applyFont="1" applyFill="1" applyBorder="1" applyAlignment="1">
      <alignment horizontal="center" vertical="center" wrapText="1"/>
    </xf>
    <xf numFmtId="0" fontId="17" fillId="2" borderId="20" xfId="47" applyFont="1" applyFill="1" applyBorder="1" applyAlignment="1">
      <alignment horizontal="center" vertical="center" wrapText="1"/>
    </xf>
    <xf numFmtId="0" fontId="17" fillId="2" borderId="19" xfId="47" applyFont="1" applyFill="1" applyBorder="1" applyAlignment="1">
      <alignment horizontal="center" vertical="center" wrapText="1"/>
    </xf>
    <xf numFmtId="0" fontId="17" fillId="2" borderId="24" xfId="19" applyFont="1" applyFill="1" applyBorder="1" applyAlignment="1">
      <alignment horizontal="center" vertical="center" wrapText="1"/>
    </xf>
    <xf numFmtId="0" fontId="17" fillId="2" borderId="23" xfId="19" applyFont="1" applyFill="1" applyBorder="1" applyAlignment="1">
      <alignment horizontal="center" vertical="center" wrapText="1"/>
    </xf>
    <xf numFmtId="0" fontId="17" fillId="2" borderId="19" xfId="19" applyFont="1" applyFill="1" applyBorder="1" applyAlignment="1">
      <alignment horizontal="center" vertical="center" wrapText="1"/>
    </xf>
    <xf numFmtId="0" fontId="17" fillId="2" borderId="25" xfId="19" applyFont="1" applyFill="1" applyBorder="1" applyAlignment="1">
      <alignment horizontal="center" vertical="center" wrapText="1"/>
    </xf>
    <xf numFmtId="0" fontId="17" fillId="2" borderId="26" xfId="19" applyFont="1" applyFill="1" applyBorder="1" applyAlignment="1">
      <alignment horizontal="center" vertical="center" wrapText="1"/>
    </xf>
    <xf numFmtId="4" fontId="28" fillId="10" borderId="0" xfId="47" applyNumberFormat="1" applyFont="1" applyFill="1" applyAlignment="1">
      <alignment horizontal="center" vertical="center" wrapText="1"/>
    </xf>
    <xf numFmtId="10" fontId="27" fillId="4" borderId="17" xfId="49" applyNumberFormat="1" applyFont="1" applyFill="1" applyBorder="1" applyAlignment="1">
      <alignment horizontal="center" vertical="center"/>
    </xf>
    <xf numFmtId="2" fontId="27" fillId="4" borderId="17" xfId="47" applyNumberFormat="1" applyFont="1" applyFill="1" applyBorder="1" applyAlignment="1">
      <alignment horizontal="center" vertical="center"/>
    </xf>
    <xf numFmtId="10" fontId="27" fillId="4" borderId="17" xfId="47" applyNumberFormat="1" applyFont="1" applyFill="1" applyBorder="1" applyAlignment="1">
      <alignment horizontal="center" vertical="center"/>
    </xf>
    <xf numFmtId="4" fontId="27" fillId="4" borderId="17" xfId="47" applyNumberFormat="1" applyFont="1" applyFill="1" applyBorder="1" applyAlignment="1">
      <alignment horizontal="center" vertical="center"/>
    </xf>
    <xf numFmtId="10" fontId="19" fillId="8" borderId="0" xfId="49" applyNumberFormat="1" applyFont="1" applyFill="1" applyProtection="1">
      <protection hidden="1"/>
    </xf>
    <xf numFmtId="2" fontId="0" fillId="0" borderId="0" xfId="0" applyNumberFormat="1"/>
    <xf numFmtId="0" fontId="17" fillId="9" borderId="10" xfId="19" applyFont="1" applyFill="1" applyBorder="1" applyAlignment="1">
      <alignment horizontal="left" vertical="center" indent="1"/>
    </xf>
    <xf numFmtId="10" fontId="26" fillId="0" borderId="1" xfId="0" applyNumberFormat="1" applyFont="1" applyBorder="1" applyAlignment="1">
      <alignment horizontal="center" vertical="center"/>
    </xf>
    <xf numFmtId="10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quotePrefix="1" applyFont="1"/>
    <xf numFmtId="1" fontId="11" fillId="3" borderId="4" xfId="41" applyNumberFormat="1" applyFont="1" applyFill="1" applyBorder="1" applyAlignment="1" applyProtection="1">
      <alignment horizontal="center" vertical="center"/>
      <protection hidden="1"/>
    </xf>
    <xf numFmtId="10" fontId="0" fillId="0" borderId="0" xfId="49" applyNumberFormat="1" applyFont="1"/>
    <xf numFmtId="1" fontId="11" fillId="0" borderId="4" xfId="41" applyNumberFormat="1" applyFont="1" applyBorder="1" applyAlignment="1" applyProtection="1">
      <alignment horizontal="center" vertical="center"/>
      <protection locked="0" hidden="1"/>
    </xf>
    <xf numFmtId="10" fontId="19" fillId="0" borderId="0" xfId="49" applyNumberFormat="1" applyFont="1" applyFill="1" applyProtection="1">
      <protection hidden="1"/>
    </xf>
    <xf numFmtId="0" fontId="15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3" fillId="0" borderId="0" xfId="14" applyFont="1"/>
    <xf numFmtId="0" fontId="13" fillId="0" borderId="0" xfId="14" applyFont="1" applyProtection="1">
      <protection hidden="1"/>
    </xf>
    <xf numFmtId="4" fontId="0" fillId="8" borderId="0" xfId="0" applyNumberFormat="1" applyFill="1" applyProtection="1">
      <protection hidden="1"/>
    </xf>
    <xf numFmtId="0" fontId="0" fillId="0" borderId="0" xfId="0" applyAlignment="1">
      <alignment vertical="center" wrapText="1"/>
    </xf>
    <xf numFmtId="0" fontId="29" fillId="0" borderId="0" xfId="0" applyFont="1" applyAlignment="1">
      <alignment vertical="center" wrapText="1"/>
    </xf>
    <xf numFmtId="10" fontId="0" fillId="0" borderId="0" xfId="0" applyNumberFormat="1" applyAlignment="1">
      <alignment vertical="center" wrapText="1"/>
    </xf>
    <xf numFmtId="0" fontId="30" fillId="0" borderId="0" xfId="0" applyFont="1"/>
    <xf numFmtId="0" fontId="2" fillId="0" borderId="0" xfId="0" applyFont="1" applyAlignment="1">
      <alignment vertical="center" wrapText="1"/>
    </xf>
    <xf numFmtId="0" fontId="20" fillId="9" borderId="0" xfId="47" applyFont="1" applyFill="1" applyAlignment="1">
      <alignment horizontal="center" vertical="center"/>
    </xf>
    <xf numFmtId="10" fontId="22" fillId="9" borderId="0" xfId="19" applyNumberFormat="1" applyFont="1" applyFill="1" applyAlignment="1">
      <alignment horizontal="center" vertical="center"/>
    </xf>
    <xf numFmtId="10" fontId="11" fillId="9" borderId="27" xfId="19" applyNumberFormat="1" applyFont="1" applyFill="1" applyBorder="1" applyAlignment="1">
      <alignment horizontal="center" vertical="center"/>
    </xf>
    <xf numFmtId="10" fontId="11" fillId="9" borderId="0" xfId="19" applyNumberFormat="1" applyFont="1" applyFill="1" applyAlignment="1">
      <alignment horizontal="center" vertical="center"/>
    </xf>
    <xf numFmtId="10" fontId="17" fillId="9" borderId="27" xfId="19" applyNumberFormat="1" applyFont="1" applyFill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0" fontId="2" fillId="11" borderId="0" xfId="0" applyFont="1" applyFill="1" applyAlignment="1" applyProtection="1">
      <alignment vertical="center"/>
      <protection hidden="1"/>
    </xf>
    <xf numFmtId="0" fontId="25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0" fontId="26" fillId="0" borderId="0" xfId="0" applyNumberFormat="1" applyFont="1" applyAlignment="1">
      <alignment horizontal="center" vertical="center" wrapText="1"/>
    </xf>
    <xf numFmtId="10" fontId="2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1" fontId="17" fillId="3" borderId="4" xfId="50" applyNumberFormat="1" applyFont="1" applyFill="1" applyBorder="1" applyAlignment="1" applyProtection="1">
      <alignment horizontal="center" vertical="center"/>
      <protection hidden="1"/>
    </xf>
    <xf numFmtId="171" fontId="11" fillId="3" borderId="4" xfId="41" applyNumberFormat="1" applyFont="1" applyFill="1" applyBorder="1" applyAlignment="1" applyProtection="1">
      <alignment vertical="top" wrapText="1"/>
      <protection hidden="1"/>
    </xf>
    <xf numFmtId="10" fontId="17" fillId="3" borderId="4" xfId="50" applyNumberFormat="1" applyFont="1" applyFill="1" applyBorder="1" applyAlignment="1" applyProtection="1">
      <alignment horizontal="center" vertical="center"/>
      <protection hidden="1"/>
    </xf>
    <xf numFmtId="10" fontId="20" fillId="0" borderId="0" xfId="49" applyNumberFormat="1" applyFont="1" applyAlignment="1">
      <alignment horizontal="center" vertical="center"/>
    </xf>
    <xf numFmtId="0" fontId="17" fillId="3" borderId="4" xfId="41" applyFont="1" applyFill="1" applyBorder="1" applyAlignment="1" applyProtection="1">
      <alignment horizontal="center" vertical="center" wrapText="1"/>
      <protection hidden="1"/>
    </xf>
    <xf numFmtId="168" fontId="11" fillId="0" borderId="4" xfId="41" applyNumberFormat="1" applyFont="1" applyBorder="1" applyAlignment="1" applyProtection="1">
      <alignment horizontal="center" vertical="center" wrapText="1"/>
      <protection locked="0" hidden="1"/>
    </xf>
    <xf numFmtId="10" fontId="17" fillId="3" borderId="4" xfId="49" applyNumberFormat="1" applyFont="1" applyFill="1" applyBorder="1" applyAlignment="1" applyProtection="1">
      <alignment horizontal="center" wrapText="1"/>
      <protection hidden="1"/>
    </xf>
    <xf numFmtId="0" fontId="17" fillId="3" borderId="4" xfId="41" applyFont="1" applyFill="1" applyBorder="1" applyAlignment="1" applyProtection="1">
      <alignment horizontal="center"/>
      <protection hidden="1"/>
    </xf>
    <xf numFmtId="171" fontId="17" fillId="3" borderId="8" xfId="41" applyNumberFormat="1" applyFont="1" applyFill="1" applyBorder="1" applyAlignment="1" applyProtection="1">
      <alignment horizontal="center" vertical="center" wrapText="1"/>
      <protection hidden="1"/>
    </xf>
    <xf numFmtId="0" fontId="24" fillId="2" borderId="0" xfId="41" applyFont="1" applyFill="1" applyAlignment="1" applyProtection="1">
      <alignment horizontal="center" vertical="center" wrapText="1"/>
      <protection hidden="1"/>
    </xf>
    <xf numFmtId="0" fontId="25" fillId="7" borderId="2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 wrapText="1"/>
    </xf>
    <xf numFmtId="0" fontId="4" fillId="3" borderId="7" xfId="41" applyFont="1" applyFill="1" applyBorder="1" applyAlignment="1" applyProtection="1">
      <alignment horizontal="center" vertical="center"/>
      <protection hidden="1"/>
    </xf>
    <xf numFmtId="0" fontId="4" fillId="3" borderId="6" xfId="41" applyFont="1" applyFill="1" applyBorder="1" applyAlignment="1" applyProtection="1">
      <alignment horizontal="center" vertical="center"/>
      <protection hidden="1"/>
    </xf>
    <xf numFmtId="0" fontId="17" fillId="3" borderId="7" xfId="41" applyFont="1" applyFill="1" applyBorder="1" applyAlignment="1" applyProtection="1">
      <alignment horizontal="left" vertical="center" indent="1"/>
      <protection hidden="1"/>
    </xf>
    <xf numFmtId="0" fontId="17" fillId="3" borderId="6" xfId="41" applyFont="1" applyFill="1" applyBorder="1" applyAlignment="1" applyProtection="1">
      <alignment horizontal="left" vertical="center" indent="1"/>
      <protection hidden="1"/>
    </xf>
    <xf numFmtId="0" fontId="11" fillId="3" borderId="7" xfId="41" applyFont="1" applyFill="1" applyBorder="1" applyAlignment="1" applyProtection="1">
      <alignment horizontal="left" vertical="center" indent="1"/>
      <protection hidden="1"/>
    </xf>
    <xf numFmtId="0" fontId="11" fillId="3" borderId="6" xfId="41" applyFont="1" applyFill="1" applyBorder="1" applyAlignment="1" applyProtection="1">
      <alignment horizontal="left" vertical="center" indent="1"/>
      <protection hidden="1"/>
    </xf>
    <xf numFmtId="0" fontId="25" fillId="7" borderId="1" xfId="0" applyFont="1" applyFill="1" applyBorder="1" applyAlignment="1">
      <alignment horizontal="center" vertical="center" wrapText="1"/>
    </xf>
    <xf numFmtId="2" fontId="17" fillId="0" borderId="5" xfId="41" applyNumberFormat="1" applyFont="1" applyBorder="1" applyAlignment="1" applyProtection="1">
      <alignment horizontal="center" vertical="center"/>
      <protection locked="0" hidden="1"/>
    </xf>
    <xf numFmtId="0" fontId="9" fillId="3" borderId="0" xfId="41" applyFont="1" applyFill="1" applyAlignment="1" applyProtection="1">
      <alignment horizontal="center" vertical="center"/>
      <protection hidden="1"/>
    </xf>
  </cellXfs>
  <cellStyles count="104">
    <cellStyle name="Comma 2" xfId="1" xr:uid="{00000000-0005-0000-0000-000000000000}"/>
    <cellStyle name="Comma 2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Percent" xfId="49" builtinId="5"/>
    <cellStyle name="Percent 2" xfId="5" xr:uid="{00000000-0005-0000-0000-000004000000}"/>
    <cellStyle name="Percent 2 2" xfId="6" xr:uid="{00000000-0005-0000-0000-000005000000}"/>
    <cellStyle name="Денежный 2" xfId="7" xr:uid="{00000000-0005-0000-0000-000007000000}"/>
    <cellStyle name="Денежный 2 2" xfId="8" xr:uid="{00000000-0005-0000-0000-000008000000}"/>
    <cellStyle name="Денежный 2 2 2" xfId="9" xr:uid="{00000000-0005-0000-0000-000009000000}"/>
    <cellStyle name="Денежный 2 3" xfId="10" xr:uid="{00000000-0005-0000-0000-00000A000000}"/>
    <cellStyle name="Обычный 17" xfId="11" xr:uid="{00000000-0005-0000-0000-00000C000000}"/>
    <cellStyle name="Обычный 17 2" xfId="12" xr:uid="{00000000-0005-0000-0000-00000D000000}"/>
    <cellStyle name="Обычный 2" xfId="13" xr:uid="{00000000-0005-0000-0000-00000E000000}"/>
    <cellStyle name="Обычный 2 2" xfId="14" xr:uid="{00000000-0005-0000-0000-00000F000000}"/>
    <cellStyle name="Обычный 2 2 2" xfId="15" xr:uid="{00000000-0005-0000-0000-000010000000}"/>
    <cellStyle name="Обычный 3" xfId="16" xr:uid="{00000000-0005-0000-0000-000011000000}"/>
    <cellStyle name="Обычный 3 2" xfId="17" xr:uid="{00000000-0005-0000-0000-000012000000}"/>
    <cellStyle name="Обычный 4" xfId="18" xr:uid="{00000000-0005-0000-0000-000013000000}"/>
    <cellStyle name="Обычный 4 2" xfId="19" xr:uid="{00000000-0005-0000-0000-000014000000}"/>
    <cellStyle name="Обычный 4 3" xfId="20" xr:uid="{00000000-0005-0000-0000-000015000000}"/>
    <cellStyle name="Обычный 4 3 2" xfId="21" xr:uid="{00000000-0005-0000-0000-000016000000}"/>
    <cellStyle name="Обычный 4 3 2 2" xfId="22" xr:uid="{00000000-0005-0000-0000-000017000000}"/>
    <cellStyle name="Обычный 4 3 3" xfId="23" xr:uid="{00000000-0005-0000-0000-000018000000}"/>
    <cellStyle name="Обычный 4 3 3 2" xfId="24" xr:uid="{00000000-0005-0000-0000-000019000000}"/>
    <cellStyle name="Обычный 4 3 4" xfId="25" xr:uid="{00000000-0005-0000-0000-00001A000000}"/>
    <cellStyle name="Обычный 4 3 4 2" xfId="26" xr:uid="{00000000-0005-0000-0000-00001B000000}"/>
    <cellStyle name="Обычный 4 3 5" xfId="27" xr:uid="{00000000-0005-0000-0000-00001C000000}"/>
    <cellStyle name="Обычный 4 3 5 2" xfId="28" xr:uid="{00000000-0005-0000-0000-00001D000000}"/>
    <cellStyle name="Обычный 4 3 6" xfId="29" xr:uid="{00000000-0005-0000-0000-00001E000000}"/>
    <cellStyle name="Обычный 4 4" xfId="30" xr:uid="{00000000-0005-0000-0000-00001F000000}"/>
    <cellStyle name="Обычный 4 4 2" xfId="31" xr:uid="{00000000-0005-0000-0000-000020000000}"/>
    <cellStyle name="Обычный 4 5" xfId="32" xr:uid="{00000000-0005-0000-0000-000021000000}"/>
    <cellStyle name="Обычный 4 5 2" xfId="33" xr:uid="{00000000-0005-0000-0000-000022000000}"/>
    <cellStyle name="Обычный 4 6" xfId="34" xr:uid="{00000000-0005-0000-0000-000023000000}"/>
    <cellStyle name="Обычный 4 6 2" xfId="35" xr:uid="{00000000-0005-0000-0000-000024000000}"/>
    <cellStyle name="Обычный 4 7" xfId="36" xr:uid="{00000000-0005-0000-0000-000025000000}"/>
    <cellStyle name="Обычный 4 7 2" xfId="37" xr:uid="{00000000-0005-0000-0000-000026000000}"/>
    <cellStyle name="Обычный 4 8" xfId="38" xr:uid="{00000000-0005-0000-0000-000027000000}"/>
    <cellStyle name="Обычный 5" xfId="39" xr:uid="{00000000-0005-0000-0000-000028000000}"/>
    <cellStyle name="Обычный 5 2" xfId="40" xr:uid="{00000000-0005-0000-0000-000029000000}"/>
    <cellStyle name="Обычный 6" xfId="41" xr:uid="{00000000-0005-0000-0000-00002A000000}"/>
    <cellStyle name="Обычный 7" xfId="42" xr:uid="{00000000-0005-0000-0000-00002B000000}"/>
    <cellStyle name="Обычный 8" xfId="43" xr:uid="{00000000-0005-0000-0000-00002C000000}"/>
    <cellStyle name="Обычный 8 2" xfId="44" xr:uid="{00000000-0005-0000-0000-00002D000000}"/>
    <cellStyle name="Обычный 8 2 2" xfId="45" xr:uid="{00000000-0005-0000-0000-00002E000000}"/>
    <cellStyle name="Обычный 8 3" xfId="46" xr:uid="{00000000-0005-0000-0000-00002F000000}"/>
    <cellStyle name="Обычный 9" xfId="47" xr:uid="{00000000-0005-0000-0000-000030000000}"/>
    <cellStyle name="Обычный 9 2" xfId="48" xr:uid="{00000000-0005-0000-0000-000031000000}"/>
    <cellStyle name="Процентный 2" xfId="50" xr:uid="{00000000-0005-0000-0000-000032000000}"/>
    <cellStyle name="Процентный 2 2" xfId="51" xr:uid="{00000000-0005-0000-0000-000033000000}"/>
    <cellStyle name="Процентный 3" xfId="52" xr:uid="{00000000-0005-0000-0000-000034000000}"/>
    <cellStyle name="Процентный 3 2" xfId="53" xr:uid="{00000000-0005-0000-0000-000035000000}"/>
    <cellStyle name="Процентный 3 2 2" xfId="54" xr:uid="{00000000-0005-0000-0000-000036000000}"/>
    <cellStyle name="Процентный 3 2 2 2" xfId="55" xr:uid="{00000000-0005-0000-0000-000037000000}"/>
    <cellStyle name="Процентный 3 2 3" xfId="56" xr:uid="{00000000-0005-0000-0000-000038000000}"/>
    <cellStyle name="Процентный 3 2 3 2" xfId="57" xr:uid="{00000000-0005-0000-0000-000039000000}"/>
    <cellStyle name="Процентный 3 2 4" xfId="58" xr:uid="{00000000-0005-0000-0000-00003A000000}"/>
    <cellStyle name="Процентный 3 2 4 2" xfId="59" xr:uid="{00000000-0005-0000-0000-00003B000000}"/>
    <cellStyle name="Процентный 3 2 5" xfId="60" xr:uid="{00000000-0005-0000-0000-00003C000000}"/>
    <cellStyle name="Процентный 3 2 5 2" xfId="61" xr:uid="{00000000-0005-0000-0000-00003D000000}"/>
    <cellStyle name="Процентный 3 2 6" xfId="62" xr:uid="{00000000-0005-0000-0000-00003E000000}"/>
    <cellStyle name="Процентный 3 3" xfId="63" xr:uid="{00000000-0005-0000-0000-00003F000000}"/>
    <cellStyle name="Процентный 3 3 2" xfId="64" xr:uid="{00000000-0005-0000-0000-000040000000}"/>
    <cellStyle name="Процентный 3 4" xfId="65" xr:uid="{00000000-0005-0000-0000-000041000000}"/>
    <cellStyle name="Процентный 3 4 2" xfId="66" xr:uid="{00000000-0005-0000-0000-000042000000}"/>
    <cellStyle name="Процентный 3 5" xfId="67" xr:uid="{00000000-0005-0000-0000-000043000000}"/>
    <cellStyle name="Процентный 3 5 2" xfId="68" xr:uid="{00000000-0005-0000-0000-000044000000}"/>
    <cellStyle name="Процентный 3 6" xfId="69" xr:uid="{00000000-0005-0000-0000-000045000000}"/>
    <cellStyle name="Процентный 3 6 2" xfId="70" xr:uid="{00000000-0005-0000-0000-000046000000}"/>
    <cellStyle name="Процентный 3 7" xfId="71" xr:uid="{00000000-0005-0000-0000-000047000000}"/>
    <cellStyle name="Процентный 4" xfId="72" xr:uid="{00000000-0005-0000-0000-000048000000}"/>
    <cellStyle name="Процентный 4 2" xfId="73" xr:uid="{00000000-0005-0000-0000-000049000000}"/>
    <cellStyle name="Процентный 4 2 2" xfId="74" xr:uid="{00000000-0005-0000-0000-00004A000000}"/>
    <cellStyle name="Процентный 4 3" xfId="75" xr:uid="{00000000-0005-0000-0000-00004B000000}"/>
    <cellStyle name="Финансовый 2" xfId="76" xr:uid="{00000000-0005-0000-0000-00004C000000}"/>
    <cellStyle name="Финансовый 2 2" xfId="77" xr:uid="{00000000-0005-0000-0000-00004D000000}"/>
    <cellStyle name="Финансовый 3" xfId="78" xr:uid="{00000000-0005-0000-0000-00004E000000}"/>
    <cellStyle name="Финансовый 3 2" xfId="79" xr:uid="{00000000-0005-0000-0000-00004F000000}"/>
    <cellStyle name="Финансовый 3 2 2" xfId="80" xr:uid="{00000000-0005-0000-0000-000050000000}"/>
    <cellStyle name="Финансовый 3 2 2 2" xfId="81" xr:uid="{00000000-0005-0000-0000-000051000000}"/>
    <cellStyle name="Финансовый 3 2 3" xfId="82" xr:uid="{00000000-0005-0000-0000-000052000000}"/>
    <cellStyle name="Финансовый 3 2 3 2" xfId="83" xr:uid="{00000000-0005-0000-0000-000053000000}"/>
    <cellStyle name="Финансовый 3 2 4" xfId="84" xr:uid="{00000000-0005-0000-0000-000054000000}"/>
    <cellStyle name="Финансовый 3 2 4 2" xfId="85" xr:uid="{00000000-0005-0000-0000-000055000000}"/>
    <cellStyle name="Финансовый 3 2 5" xfId="86" xr:uid="{00000000-0005-0000-0000-000056000000}"/>
    <cellStyle name="Финансовый 3 2 5 2" xfId="87" xr:uid="{00000000-0005-0000-0000-000057000000}"/>
    <cellStyle name="Финансовый 3 2 6" xfId="88" xr:uid="{00000000-0005-0000-0000-000058000000}"/>
    <cellStyle name="Финансовый 3 3" xfId="89" xr:uid="{00000000-0005-0000-0000-000059000000}"/>
    <cellStyle name="Финансовый 3 3 2" xfId="90" xr:uid="{00000000-0005-0000-0000-00005A000000}"/>
    <cellStyle name="Финансовый 3 4" xfId="91" xr:uid="{00000000-0005-0000-0000-00005B000000}"/>
    <cellStyle name="Финансовый 3 4 2" xfId="92" xr:uid="{00000000-0005-0000-0000-00005C000000}"/>
    <cellStyle name="Финансовый 3 5" xfId="93" xr:uid="{00000000-0005-0000-0000-00005D000000}"/>
    <cellStyle name="Финансовый 3 5 2" xfId="94" xr:uid="{00000000-0005-0000-0000-00005E000000}"/>
    <cellStyle name="Финансовый 3 6" xfId="95" xr:uid="{00000000-0005-0000-0000-00005F000000}"/>
    <cellStyle name="Финансовый 3 6 2" xfId="96" xr:uid="{00000000-0005-0000-0000-000060000000}"/>
    <cellStyle name="Финансовый 3 7" xfId="97" xr:uid="{00000000-0005-0000-0000-000061000000}"/>
    <cellStyle name="Финансовый 4" xfId="98" xr:uid="{00000000-0005-0000-0000-000062000000}"/>
    <cellStyle name="Финансовый 4 2" xfId="99" xr:uid="{00000000-0005-0000-0000-000063000000}"/>
    <cellStyle name="Финансовый 4 2 2" xfId="100" xr:uid="{00000000-0005-0000-0000-000064000000}"/>
    <cellStyle name="Финансовый 4 3" xfId="101" xr:uid="{00000000-0005-0000-0000-000065000000}"/>
    <cellStyle name="Финансовый 8" xfId="102" xr:uid="{00000000-0005-0000-0000-000066000000}"/>
    <cellStyle name="Финансовый 8 2" xfId="103" xr:uid="{00000000-0005-0000-0000-000067000000}"/>
  </cellStyles>
  <dxfs count="3">
    <dxf>
      <fill>
        <gradientFill degree="180">
          <stop position="0">
            <color theme="0"/>
          </stop>
          <stop position="1">
            <color theme="6" tint="0.80001220740379042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FF0000"/>
        </patternFill>
      </fill>
    </dxf>
    <dxf>
      <fill>
        <gradientFill degree="180">
          <stop position="0">
            <color theme="0"/>
          </stop>
          <stop position="1">
            <color theme="6" tint="0.80001220740379042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33CC33"/>
      <color rgb="FFFD370F"/>
      <color rgb="FFD839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34168</xdr:colOff>
      <xdr:row>0</xdr:row>
      <xdr:rowOff>132790</xdr:rowOff>
    </xdr:from>
    <xdr:to>
      <xdr:col>4</xdr:col>
      <xdr:colOff>616955</xdr:colOff>
      <xdr:row>2</xdr:row>
      <xdr:rowOff>110939</xdr:rowOff>
    </xdr:to>
    <xdr:pic>
      <xdr:nvPicPr>
        <xdr:cNvPr id="2074" name="Рисунок 10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543" y="132790"/>
          <a:ext cx="1880908" cy="38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92D050"/>
    <pageSetUpPr fitToPage="1"/>
  </sheetPr>
  <dimension ref="A1:W105"/>
  <sheetViews>
    <sheetView showGridLines="0" tabSelected="1" view="pageBreakPreview" zoomScale="70" zoomScaleNormal="100" zoomScaleSheetLayoutView="70" workbookViewId="0">
      <selection activeCell="F7" sqref="F7:G7"/>
    </sheetView>
  </sheetViews>
  <sheetFormatPr defaultRowHeight="12.75"/>
  <cols>
    <col min="1" max="1" width="6.140625" bestFit="1" customWidth="1"/>
    <col min="2" max="2" width="3" style="19" bestFit="1" customWidth="1"/>
    <col min="3" max="3" width="3" customWidth="1"/>
    <col min="4" max="4" width="16.42578125" customWidth="1"/>
    <col min="5" max="5" width="17.140625" customWidth="1"/>
    <col min="6" max="6" width="16.42578125" style="1" bestFit="1" customWidth="1"/>
    <col min="7" max="7" width="29.85546875" customWidth="1"/>
    <col min="8" max="8" width="13" customWidth="1"/>
    <col min="9" max="9" width="5.140625" hidden="1" customWidth="1"/>
    <col min="10" max="10" width="11.85546875" style="19" hidden="1" customWidth="1"/>
    <col min="11" max="11" width="5.7109375" hidden="1" customWidth="1"/>
    <col min="12" max="12" width="27.5703125" hidden="1" customWidth="1"/>
    <col min="13" max="13" width="17.5703125" hidden="1" customWidth="1"/>
    <col min="14" max="14" width="17.28515625" hidden="1" customWidth="1"/>
    <col min="15" max="15" width="22.28515625" hidden="1" customWidth="1"/>
    <col min="16" max="17" width="19.140625" hidden="1" customWidth="1"/>
    <col min="18" max="18" width="19.7109375" hidden="1" customWidth="1"/>
    <col min="19" max="19" width="15.140625" hidden="1" customWidth="1"/>
    <col min="20" max="21" width="9.140625" hidden="1" customWidth="1"/>
    <col min="22" max="23" width="8.85546875" hidden="1" customWidth="1"/>
    <col min="24" max="24" width="8.85546875" customWidth="1"/>
  </cols>
  <sheetData>
    <row r="1" spans="1:19" ht="16.899999999999999" customHeight="1">
      <c r="B1" s="17"/>
      <c r="C1" s="17"/>
      <c r="D1" s="22"/>
      <c r="E1" s="22"/>
      <c r="F1" s="118" t="s">
        <v>47</v>
      </c>
      <c r="G1" s="118"/>
      <c r="H1" s="118"/>
      <c r="J1" s="20"/>
      <c r="L1" s="13"/>
      <c r="M1" s="2"/>
    </row>
    <row r="2" spans="1:19" ht="15.75" customHeight="1">
      <c r="B2" s="17"/>
      <c r="C2" s="17"/>
      <c r="D2" s="20"/>
      <c r="E2" s="20"/>
      <c r="F2" s="118"/>
      <c r="G2" s="118"/>
      <c r="H2" s="118"/>
      <c r="J2" s="20"/>
      <c r="L2" s="14"/>
    </row>
    <row r="3" spans="1:19" ht="18.75" customHeight="1">
      <c r="B3" s="17"/>
      <c r="C3" s="17"/>
      <c r="D3" s="20"/>
      <c r="E3" s="20"/>
      <c r="F3" s="118"/>
      <c r="G3" s="118"/>
      <c r="H3" s="118"/>
      <c r="J3" s="20"/>
      <c r="L3" s="102" t="s">
        <v>15</v>
      </c>
    </row>
    <row r="4" spans="1:19" ht="6" customHeight="1">
      <c r="B4" s="17"/>
      <c r="C4" s="17"/>
      <c r="D4" s="20"/>
      <c r="E4" s="20"/>
      <c r="F4" s="20"/>
      <c r="G4" s="20"/>
      <c r="H4" s="20"/>
      <c r="I4" s="20"/>
      <c r="J4" s="20"/>
      <c r="L4" s="14"/>
    </row>
    <row r="5" spans="1:19" ht="13.9" customHeight="1">
      <c r="B5" s="17"/>
      <c r="C5" s="129" t="s">
        <v>3</v>
      </c>
      <c r="D5" s="129"/>
      <c r="E5" s="129"/>
      <c r="F5" s="129"/>
      <c r="G5" s="129"/>
      <c r="H5" s="21">
        <f ca="1">IF(TODAY()&gt;DATE(YEAR(TODAY()),MONTH(TODAY()),DAY(TODAY())),DATE(YEAR(TODAY()),MONTH(TODAY()),DAY(10)),TODAY())</f>
        <v>46311</v>
      </c>
      <c r="J5" s="17"/>
      <c r="L5" s="127" t="s">
        <v>12</v>
      </c>
      <c r="M5" s="127" t="s">
        <v>46</v>
      </c>
      <c r="N5" s="127" t="s">
        <v>48</v>
      </c>
      <c r="O5" s="127" t="s">
        <v>43</v>
      </c>
      <c r="P5" s="119" t="s">
        <v>49</v>
      </c>
      <c r="Q5" s="119" t="s">
        <v>44</v>
      </c>
      <c r="R5" s="119" t="s">
        <v>14</v>
      </c>
      <c r="S5" s="119" t="s">
        <v>5</v>
      </c>
    </row>
    <row r="6" spans="1:19" ht="13.9" customHeight="1">
      <c r="B6" s="17"/>
      <c r="C6" s="129"/>
      <c r="D6" s="129"/>
      <c r="E6" s="129"/>
      <c r="F6" s="129"/>
      <c r="G6" s="129"/>
      <c r="H6" s="17"/>
      <c r="I6" s="17"/>
      <c r="J6" s="90"/>
      <c r="L6" s="127"/>
      <c r="M6" s="127"/>
      <c r="N6" s="127"/>
      <c r="O6" s="127"/>
      <c r="P6" s="120"/>
      <c r="Q6" s="120"/>
      <c r="R6" s="120"/>
      <c r="S6" s="120"/>
    </row>
    <row r="7" spans="1:19" ht="13.5" customHeight="1">
      <c r="B7" s="18"/>
      <c r="C7" s="121" t="s">
        <v>1</v>
      </c>
      <c r="D7" s="121"/>
      <c r="E7" s="122"/>
      <c r="F7" s="128" t="s">
        <v>55</v>
      </c>
      <c r="G7" s="128"/>
      <c r="H7" s="17"/>
      <c r="I7" s="17"/>
      <c r="J7" s="17"/>
      <c r="L7" s="79" t="str">
        <f>Продукти!B2</f>
        <v>Beauty</v>
      </c>
      <c r="M7" s="101" t="str">
        <f>Продукти!K2</f>
        <v>20000 - 300000</v>
      </c>
      <c r="N7" s="78" t="str">
        <f>Продукти!N2&amp;" міс."</f>
        <v>12 - 60 міс.</v>
      </c>
      <c r="O7" s="77" t="str">
        <f>Продукти!C2&amp;" міс."</f>
        <v>0 міс.</v>
      </c>
      <c r="P7" s="76">
        <f>Продукти!F2</f>
        <v>0.34989999999999999</v>
      </c>
      <c r="Q7" s="77" t="s">
        <v>61</v>
      </c>
      <c r="R7" s="76">
        <f>Продукти!H2</f>
        <v>0</v>
      </c>
      <c r="S7" s="80" t="s">
        <v>13</v>
      </c>
    </row>
    <row r="8" spans="1:19" ht="25.5">
      <c r="B8" s="33"/>
      <c r="C8" s="123" t="s">
        <v>45</v>
      </c>
      <c r="D8" s="123"/>
      <c r="E8" s="124"/>
      <c r="F8" s="114">
        <v>50000</v>
      </c>
      <c r="G8" s="113" t="str">
        <f>"Мін.бажана сума "&amp;TEXT(ROUNDDOWN(Продукти!I11/(1+Продукти!H11),0),"# ##0")&amp;" грн. "&amp;
"Макс.бажана сума "&amp;TEXT(ROUNDDOWN(Продукти!J11/(1+Продукти!H11),0),"# ##0")&amp;" грн."</f>
        <v>Мін.бажана сума 19 000 грн. Макс.бажана сума 285 008 грн.</v>
      </c>
      <c r="H8" s="17"/>
      <c r="I8" s="17"/>
      <c r="J8" s="17"/>
      <c r="K8" s="74"/>
      <c r="L8" s="79" t="str">
        <f>Продукти!B3</f>
        <v>Універсальний Beauty</v>
      </c>
      <c r="M8" s="101" t="str">
        <f>Продукти!K3</f>
        <v>50000 - 1250000</v>
      </c>
      <c r="N8" s="78" t="str">
        <f>Продукти!N3&amp;" міс."</f>
        <v>12 - 60 міс.</v>
      </c>
      <c r="O8" s="77" t="str">
        <f>Продукти!C3&amp;" міс."</f>
        <v>0 міс.</v>
      </c>
      <c r="P8" s="76">
        <f>Продукти!F3</f>
        <v>0.19989999999999999</v>
      </c>
      <c r="Q8" s="77" t="s">
        <v>61</v>
      </c>
      <c r="R8" s="76">
        <f>Продукти!H3</f>
        <v>9.9000000000000008E-3</v>
      </c>
      <c r="S8" s="80" t="s">
        <v>13</v>
      </c>
    </row>
    <row r="9" spans="1:19">
      <c r="B9" s="87">
        <f>VLOOKUP(F7,Продукти!B:F,2,0)</f>
        <v>3</v>
      </c>
      <c r="C9" s="125" t="s">
        <v>4</v>
      </c>
      <c r="D9" s="125"/>
      <c r="E9" s="126"/>
      <c r="F9" s="84">
        <v>60</v>
      </c>
      <c r="G9" s="116" t="str">
        <f>Продукти!N11</f>
        <v>60 - 60</v>
      </c>
      <c r="H9" s="81"/>
      <c r="J9" s="17"/>
      <c r="L9" s="79" t="str">
        <f>Продукти!B4</f>
        <v>Beauty 2M</v>
      </c>
      <c r="M9" s="101" t="str">
        <f>Продукти!K4</f>
        <v>20000 - 300000</v>
      </c>
      <c r="N9" s="78" t="str">
        <f>Продукти!N4&amp;" міс."</f>
        <v>24 - 60 міс.</v>
      </c>
      <c r="O9" s="77" t="str">
        <f>Продукти!C4&amp;" міс."</f>
        <v>2 міс.</v>
      </c>
      <c r="P9" s="76">
        <f>Продукти!F4</f>
        <v>0.34989999999999999</v>
      </c>
      <c r="Q9" s="77">
        <f>Продукти!D4</f>
        <v>0</v>
      </c>
      <c r="R9" s="76">
        <f>Продукти!H4</f>
        <v>2.9899999999999999E-2</v>
      </c>
      <c r="S9" s="80" t="s">
        <v>13</v>
      </c>
    </row>
    <row r="10" spans="1:19" ht="13.5" customHeight="1">
      <c r="B10" s="87"/>
      <c r="C10" s="125" t="s">
        <v>50</v>
      </c>
      <c r="D10" s="125"/>
      <c r="E10" s="126"/>
      <c r="F10" s="82">
        <f>Продукти!$C$11</f>
        <v>3</v>
      </c>
      <c r="G10" s="6"/>
      <c r="J10" s="17"/>
      <c r="L10" s="79" t="str">
        <f>Продукти!B5</f>
        <v>Beauty 3M</v>
      </c>
      <c r="M10" s="101" t="str">
        <f>Продукти!K5</f>
        <v>20000 - 300000</v>
      </c>
      <c r="N10" s="78" t="str">
        <f>Продукти!N5&amp;" міс."</f>
        <v>60 - 60 міс.</v>
      </c>
      <c r="O10" s="77" t="str">
        <f>Продукти!C5&amp;" міс."</f>
        <v>3 міс.</v>
      </c>
      <c r="P10" s="76">
        <f>Продукти!F5</f>
        <v>0.34989999999999999</v>
      </c>
      <c r="Q10" s="77">
        <f>Продукти!D5</f>
        <v>0</v>
      </c>
      <c r="R10" s="76">
        <f>Продукти!H5</f>
        <v>5.2600000000000001E-2</v>
      </c>
      <c r="S10" s="80" t="s">
        <v>13</v>
      </c>
    </row>
    <row r="11" spans="1:19" ht="12" customHeight="1">
      <c r="B11" s="86"/>
      <c r="C11" s="125" t="s">
        <v>44</v>
      </c>
      <c r="D11" s="125"/>
      <c r="E11" s="126"/>
      <c r="F11" s="3">
        <f>Продукти!$E$11</f>
        <v>1E-4</v>
      </c>
      <c r="G11" s="12"/>
      <c r="H11" s="17"/>
      <c r="I11" s="17"/>
      <c r="J11" s="17"/>
      <c r="L11" s="79" t="str">
        <f>Продукти!B6</f>
        <v>Beauty 5M</v>
      </c>
      <c r="M11" s="101" t="str">
        <f>Продукти!K6</f>
        <v>20000 - 300000</v>
      </c>
      <c r="N11" s="78" t="str">
        <f>Продукти!N6&amp;" міс."</f>
        <v>60 - 60 міс.</v>
      </c>
      <c r="O11" s="77" t="str">
        <f>Продукти!C6&amp;" міс."</f>
        <v>5 міс.</v>
      </c>
      <c r="P11" s="76">
        <f>Продукти!F6</f>
        <v>0.34989999999999999</v>
      </c>
      <c r="Q11" s="77">
        <f>Продукти!D6</f>
        <v>0</v>
      </c>
      <c r="R11" s="76">
        <f>Продукти!H6</f>
        <v>8.6999999999999994E-2</v>
      </c>
      <c r="S11" s="80" t="s">
        <v>13</v>
      </c>
    </row>
    <row r="12" spans="1:19" ht="14.25" customHeight="1">
      <c r="B12" s="86"/>
      <c r="C12" s="125" t="s">
        <v>51</v>
      </c>
      <c r="D12" s="125"/>
      <c r="E12" s="126"/>
      <c r="F12" s="3">
        <f>Продукти!$F$11</f>
        <v>0.34989999999999999</v>
      </c>
      <c r="G12" s="12"/>
      <c r="H12" s="17"/>
      <c r="I12" s="17"/>
      <c r="J12" s="17"/>
      <c r="L12" s="79" t="str">
        <f>Продукти!B7</f>
        <v>Beauty 6M</v>
      </c>
      <c r="M12" s="101" t="str">
        <f>Продукти!K7</f>
        <v>20000 - 300000</v>
      </c>
      <c r="N12" s="78" t="str">
        <f>Продукти!N7&amp;" міс."</f>
        <v>60 - 60 міс.</v>
      </c>
      <c r="O12" s="77" t="str">
        <f>Продукти!C7&amp;" міс."</f>
        <v>6 міс.</v>
      </c>
      <c r="P12" s="76">
        <f>Продукти!F7</f>
        <v>0.34989999999999999</v>
      </c>
      <c r="Q12" s="77">
        <f>Продукти!D7</f>
        <v>0</v>
      </c>
      <c r="R12" s="76">
        <f>Продукти!H7</f>
        <v>0.1111</v>
      </c>
      <c r="S12" s="80" t="s">
        <v>13</v>
      </c>
    </row>
    <row r="13" spans="1:19">
      <c r="B13" s="86"/>
      <c r="C13" s="125" t="s">
        <v>5</v>
      </c>
      <c r="D13" s="125"/>
      <c r="E13" s="126"/>
      <c r="F13" s="4">
        <f>Продукти!$G$11</f>
        <v>0</v>
      </c>
      <c r="G13" s="5">
        <f>IFERROR(F15*F13,0)</f>
        <v>0</v>
      </c>
      <c r="H13" s="17"/>
      <c r="I13" s="17"/>
      <c r="J13" s="17"/>
      <c r="L13" s="79" t="str">
        <f>Продукти!B8</f>
        <v>Beauty 9M</v>
      </c>
      <c r="M13" s="101" t="str">
        <f>Продукти!K8</f>
        <v>20000 - 300000</v>
      </c>
      <c r="N13" s="78" t="str">
        <f>Продукти!N8&amp;" міс."</f>
        <v>60 - 60 міс.</v>
      </c>
      <c r="O13" s="77" t="str">
        <f>Продукти!C8&amp;" міс."</f>
        <v>9 міс.</v>
      </c>
      <c r="P13" s="76">
        <f>Продукти!F8</f>
        <v>0.34989999999999999</v>
      </c>
      <c r="Q13" s="77">
        <f>Продукти!D8</f>
        <v>0</v>
      </c>
      <c r="R13" s="76">
        <f>Продукти!H8</f>
        <v>0.17649999999999999</v>
      </c>
      <c r="S13" s="80" t="s">
        <v>13</v>
      </c>
    </row>
    <row r="14" spans="1:19">
      <c r="A14" s="88"/>
      <c r="B14" s="86"/>
      <c r="C14" s="125" t="s">
        <v>6</v>
      </c>
      <c r="D14" s="125"/>
      <c r="E14" s="126"/>
      <c r="F14" s="3">
        <f>Продукти!$H$11</f>
        <v>5.2600000000000001E-2</v>
      </c>
      <c r="G14" s="110">
        <f>F8*F14</f>
        <v>2630</v>
      </c>
      <c r="H14" s="32"/>
      <c r="I14" s="17"/>
      <c r="J14" s="17"/>
      <c r="K14" s="15"/>
      <c r="L14" s="79" t="str">
        <f>Продукти!B9</f>
        <v>Beauty 10M</v>
      </c>
      <c r="M14" s="101" t="str">
        <f>Продукти!K9</f>
        <v>20000 - 300000</v>
      </c>
      <c r="N14" s="78" t="str">
        <f>Продукти!N9&amp;" міс."</f>
        <v>60 - 60 міс.</v>
      </c>
      <c r="O14" s="77" t="str">
        <f>Продукти!C9&amp;" міс."</f>
        <v>10 міс.</v>
      </c>
      <c r="P14" s="76">
        <f>Продукти!F9</f>
        <v>0.34989999999999999</v>
      </c>
      <c r="Q14" s="77">
        <f>Продукти!D9</f>
        <v>0</v>
      </c>
      <c r="R14" s="76">
        <f>Продукти!H9</f>
        <v>0.25</v>
      </c>
      <c r="S14" s="80" t="s">
        <v>13</v>
      </c>
    </row>
    <row r="15" spans="1:19" ht="25.5">
      <c r="A15" s="88"/>
      <c r="B15" s="14"/>
      <c r="C15" s="123" t="s">
        <v>46</v>
      </c>
      <c r="D15" s="123"/>
      <c r="E15" s="124"/>
      <c r="F15" s="117">
        <f>IF((F8+G14)&lt;Продукти!I11,"Збільшіть бажану суму кредиту",
F8+G14)</f>
        <v>52630</v>
      </c>
      <c r="G15" s="115" t="str">
        <f>"Мін.сума кредиту "&amp;TEXT(Продукти!I11,"# ##0")&amp;" грн. "
&amp;
"Макс.сума кредиту "&amp;TEXT(Продукти!J11,"# ##0")&amp;" грн."</f>
        <v>Мін.сума кредиту 20 000 грн. Макс.сума кредиту 300 000 грн.</v>
      </c>
      <c r="H15" s="17"/>
      <c r="I15" s="17"/>
      <c r="J15" s="17"/>
      <c r="K15" s="16"/>
      <c r="L15" s="79" t="str">
        <f>Продукти!B10</f>
        <v>Beauty 12M</v>
      </c>
      <c r="M15" s="101" t="str">
        <f>Продукти!K10</f>
        <v>20000 - 300000</v>
      </c>
      <c r="N15" s="78" t="str">
        <f>Продукти!N10&amp;" міс."</f>
        <v>60 - 60 міс.</v>
      </c>
      <c r="O15" s="77" t="str">
        <f>Продукти!C10&amp;" міс."</f>
        <v>12 міс.</v>
      </c>
      <c r="P15" s="76">
        <f>Продукти!F10</f>
        <v>0.34989999999999999</v>
      </c>
      <c r="Q15" s="77">
        <f>Продукти!D10</f>
        <v>0</v>
      </c>
      <c r="R15" s="76">
        <f>Продукти!H10</f>
        <v>0.33329999999999999</v>
      </c>
      <c r="S15" s="80" t="s">
        <v>13</v>
      </c>
    </row>
    <row r="16" spans="1:19">
      <c r="A16" s="88"/>
      <c r="B16" s="14"/>
      <c r="C16" s="123" t="s">
        <v>41</v>
      </c>
      <c r="D16" s="123"/>
      <c r="E16" s="124"/>
      <c r="F16" s="109">
        <f ca="1">IF(ISNUMBER(Maxamount),E22,"")</f>
        <v>1718.23</v>
      </c>
      <c r="G16" s="12"/>
      <c r="H16" s="17"/>
      <c r="I16" s="17"/>
      <c r="J16" s="17"/>
      <c r="K16" s="16"/>
      <c r="L16" s="103"/>
      <c r="M16" s="104"/>
      <c r="N16" s="105"/>
      <c r="O16" s="106"/>
      <c r="P16" s="107"/>
      <c r="Q16" s="106"/>
      <c r="R16" s="107"/>
      <c r="S16" s="108"/>
    </row>
    <row r="17" spans="1:23">
      <c r="A17" s="88"/>
      <c r="B17" s="14"/>
      <c r="C17" s="123" t="s">
        <v>42</v>
      </c>
      <c r="D17" s="123"/>
      <c r="E17" s="124"/>
      <c r="F17" s="109">
        <f ca="1">IF(ISNUMBER(Maxamount),G21+G14+G13*Срок_кредиту,"")</f>
        <v>53089.201686482309</v>
      </c>
      <c r="G17" s="12"/>
      <c r="H17" s="17"/>
      <c r="I17" s="17"/>
      <c r="J17" s="17"/>
      <c r="K17" s="16"/>
      <c r="L17" s="103"/>
      <c r="M17" s="104"/>
      <c r="N17" s="105"/>
      <c r="O17" s="106"/>
      <c r="P17" s="107"/>
      <c r="Q17" s="106"/>
      <c r="R17" s="107"/>
      <c r="S17" s="108"/>
    </row>
    <row r="18" spans="1:23">
      <c r="A18" s="88"/>
      <c r="B18" s="14"/>
      <c r="C18" s="123" t="s">
        <v>39</v>
      </c>
      <c r="D18" s="123"/>
      <c r="E18" s="124"/>
      <c r="F18" s="109">
        <f ca="1">IF(ISNUMBER(Maxamount),F8+F17,"")</f>
        <v>103089.20168648231</v>
      </c>
      <c r="G18" s="12"/>
      <c r="H18" s="17"/>
      <c r="I18" s="17"/>
      <c r="J18" s="17"/>
      <c r="K18" s="16"/>
      <c r="L18" s="103"/>
      <c r="M18" s="104"/>
      <c r="N18" s="105"/>
      <c r="O18" s="106"/>
      <c r="P18" s="107"/>
      <c r="Q18" s="106"/>
      <c r="R18" s="107"/>
      <c r="S18" s="108"/>
    </row>
    <row r="19" spans="1:23">
      <c r="A19" s="88"/>
      <c r="B19" s="14"/>
      <c r="C19" s="123" t="s">
        <v>40</v>
      </c>
      <c r="D19" s="123"/>
      <c r="E19" s="124"/>
      <c r="F19" s="111">
        <f ca="1">IF(ISNUMBER(Maxamount),XIRR($E$21:OFFSET($E$21,Срок_кредиту,0),$D$21:OFFSET($D$21,Срок_кредиту,0)),"")</f>
        <v>0.38750624060630801</v>
      </c>
      <c r="G19" s="12"/>
      <c r="H19" s="17"/>
      <c r="I19" s="17"/>
      <c r="J19" s="17"/>
      <c r="K19" s="16"/>
      <c r="L19" s="103"/>
      <c r="M19" s="104"/>
      <c r="N19" s="105"/>
      <c r="O19" s="106"/>
      <c r="P19" s="107"/>
      <c r="Q19" s="106"/>
      <c r="R19" s="107"/>
      <c r="S19" s="108"/>
    </row>
    <row r="20" spans="1:23" ht="30.6" customHeight="1">
      <c r="A20" s="89"/>
      <c r="B20" s="14"/>
      <c r="C20" s="26" t="s">
        <v>0</v>
      </c>
      <c r="D20" s="27" t="s">
        <v>7</v>
      </c>
      <c r="E20" s="28" t="s">
        <v>8</v>
      </c>
      <c r="F20" s="28" t="s">
        <v>9</v>
      </c>
      <c r="G20" s="28" t="s">
        <v>10</v>
      </c>
      <c r="H20" s="28" t="s">
        <v>11</v>
      </c>
      <c r="J20" s="73"/>
      <c r="T20" s="23">
        <f t="shared" ref="T20:T51" si="0">IF($B22&lt;=$F$9,B22,"")</f>
        <v>1</v>
      </c>
    </row>
    <row r="21" spans="1:23">
      <c r="A21" s="89"/>
      <c r="B21" s="14"/>
      <c r="C21" s="29"/>
      <c r="D21" s="30">
        <f ca="1">H5</f>
        <v>46311</v>
      </c>
      <c r="E21" s="29">
        <f>IFERROR(
         (-F15)+(F8*F14),
         "")</f>
        <v>-50000</v>
      </c>
      <c r="F21" s="29">
        <f ca="1">SUM(F22:F81)</f>
        <v>52629.999999999927</v>
      </c>
      <c r="G21" s="29">
        <f ca="1">SUM(G22:G81)</f>
        <v>50459.201686482309</v>
      </c>
      <c r="H21" s="31">
        <f>IF(ISNUMBER(Maxamount),Maxamount,"")</f>
        <v>52630</v>
      </c>
      <c r="J21" s="73"/>
      <c r="T21" s="23">
        <f t="shared" si="0"/>
        <v>2</v>
      </c>
      <c r="U21" s="74">
        <f>IF(T21&gt;$F$9,"",1/(1+J23/12))</f>
        <v>0.99999166673611051</v>
      </c>
      <c r="V21" s="74">
        <f>IF($T21&gt;$F$9,"",PRODUCT($U$21:$U21))</f>
        <v>0.99999166673611051</v>
      </c>
      <c r="W21" s="74">
        <f ca="1">((1+J22*1/12)*Maxamount)/(SUM($V$21:OFFSET(V20,$F$9-1,0))+1)</f>
        <v>1718.2215688636607</v>
      </c>
    </row>
    <row r="22" spans="1:23">
      <c r="A22" s="89">
        <f>IF(H21&gt;0.3,1,0)</f>
        <v>1</v>
      </c>
      <c r="B22" s="87">
        <v>1</v>
      </c>
      <c r="C22" s="23">
        <f t="shared" ref="C22:C53" si="1">IF(ISNUMBER(Maxamount),
IF($B22&lt;=$F$9,B22,""),"")</f>
        <v>1</v>
      </c>
      <c r="D22" s="24">
        <f ca="1">IF(E22&lt;&gt;"",
    IF($C22&lt;=$F$9,DATE(YEAR(H5),MONTH(H5)+1,DAY(H5)),""),
    "")</f>
        <v>46342</v>
      </c>
      <c r="E22" s="25">
        <f ca="1">IFERROR(
         IF($C22&lt;=$F$9,IF((H21+G22)&gt;(Калькулятор!$W$21),ROUNDUP((Калькулятор!$W$21)*A22,2),(H21+G22)),""),
         "")</f>
        <v>1718.23</v>
      </c>
      <c r="F22" s="25">
        <f ca="1">IFERROR(
         IF($C22&lt;=$F$9,E22-G22,""),
         "")</f>
        <v>1717.791426279452</v>
      </c>
      <c r="G22" s="25">
        <f>IFERROR(
         IF($C22&lt;=$F$9,H21*J22/365*30.416,""),
         "")</f>
        <v>0.43857372054794519</v>
      </c>
      <c r="H22" s="25">
        <f ca="1">IFERROR(
         IF($C22&lt;=$F$9,H21+G22-E22,""),
         "")</f>
        <v>50912.208573720542</v>
      </c>
      <c r="J22" s="85">
        <f>IF(C22&lt;=$B$9,$F$11,$F$12)</f>
        <v>1E-4</v>
      </c>
      <c r="Q22" s="83"/>
      <c r="T22" s="23">
        <f t="shared" si="0"/>
        <v>3</v>
      </c>
      <c r="U22" s="74">
        <f t="shared" ref="U22:U85" si="2">IF(T22&gt;$F$9,"",1/(1+J24/12))</f>
        <v>0.99999166673611051</v>
      </c>
      <c r="V22" s="74">
        <f>IF($T22&gt;$F$9,"",PRODUCT($U$21:$U22))</f>
        <v>0.99998333354166435</v>
      </c>
      <c r="W22" s="74"/>
    </row>
    <row r="23" spans="1:23">
      <c r="A23" s="89">
        <f t="shared" ref="A23:A81" ca="1" si="3">IF(H22&gt;0.3,1,0)</f>
        <v>1</v>
      </c>
      <c r="B23" s="87">
        <v>2</v>
      </c>
      <c r="C23" s="23">
        <f t="shared" si="1"/>
        <v>2</v>
      </c>
      <c r="D23" s="24">
        <f ca="1">IF(E23&lt;&gt;"",
    IF($C23&lt;=$F$9,DATE(YEAR(D22),MONTH(D22)+1,DAY(D22)),""),
    "")</f>
        <v>46372</v>
      </c>
      <c r="E23" s="25">
        <f ca="1">IFERROR(
         IF($C23&lt;=$F$9,IF((H22+G23)&gt;(Калькулятор!$W$21),ROUNDUP((Калькулятор!$W$21)*A23,2),(H22+G23)),""),
         "")</f>
        <v>1718.23</v>
      </c>
      <c r="F23" s="25">
        <f t="shared" ref="F23:F81" ca="1" si="4">IFERROR(
         IF($C23&lt;=$F$9,E23-G23,""),
         "")</f>
        <v>1717.8057408942525</v>
      </c>
      <c r="G23" s="25">
        <f t="shared" ref="G23:G81" ca="1" si="5">IFERROR(
         IF($C23&lt;=$F$9,H22*J23/365*30.416,""),
         "")</f>
        <v>0.42425910574747511</v>
      </c>
      <c r="H23" s="25">
        <f t="shared" ref="H23:H81" ca="1" si="6">IFERROR(
         IF($C23&lt;=$F$9,H22+G23-E23,""),
         "")</f>
        <v>49194.402832826287</v>
      </c>
      <c r="J23" s="85">
        <f t="shared" ref="J23:J81" si="7">IF(C23&lt;=$B$9,$F$11,$F$12)</f>
        <v>1E-4</v>
      </c>
      <c r="T23" s="23">
        <f t="shared" si="0"/>
        <v>4</v>
      </c>
      <c r="U23" s="74">
        <f t="shared" si="2"/>
        <v>0.97166778678369858</v>
      </c>
      <c r="V23" s="74">
        <f>IF($T23&gt;$F$9,"",PRODUCT($U$21:$U23))</f>
        <v>0.97165159252301403</v>
      </c>
      <c r="W23" s="74"/>
    </row>
    <row r="24" spans="1:23">
      <c r="A24" s="89">
        <f t="shared" ca="1" si="3"/>
        <v>1</v>
      </c>
      <c r="B24" s="87">
        <v>3</v>
      </c>
      <c r="C24" s="23">
        <f t="shared" si="1"/>
        <v>3</v>
      </c>
      <c r="D24" s="24">
        <f t="shared" ref="D24:D81" ca="1" si="8">IF(E24&lt;&gt;"",
    IF($C24&lt;=$F$9,DATE(YEAR(D23),MONTH(D23)+1,DAY(D23)),""),
    "")</f>
        <v>46403</v>
      </c>
      <c r="E24" s="25">
        <f ca="1">IFERROR(
         IF($C24&lt;=$F$9,IF((H23+G24)&gt;(Калькулятор!$W$21),ROUNDUP((Калькулятор!$W$21)*A24,2),(H23+G24)),""),
         "")</f>
        <v>1718.23</v>
      </c>
      <c r="F24" s="25">
        <f t="shared" ca="1" si="4"/>
        <v>1717.8200556283389</v>
      </c>
      <c r="G24" s="25">
        <f t="shared" ca="1" si="5"/>
        <v>0.40994437166116288</v>
      </c>
      <c r="H24" s="25">
        <f t="shared" ca="1" si="6"/>
        <v>47476.582777197946</v>
      </c>
      <c r="J24" s="85">
        <f t="shared" si="7"/>
        <v>1E-4</v>
      </c>
      <c r="T24" s="23">
        <f>IF($B26&lt;=$F$9,B26,"")</f>
        <v>5</v>
      </c>
      <c r="U24" s="74">
        <f>IF(T24&gt;$F$9,"",1/(1+J26/12))</f>
        <v>0.97166778678369858</v>
      </c>
      <c r="V24" s="74">
        <f>IF($T24&gt;$F$9,"",PRODUCT($U$21:$U24))</f>
        <v>0.94412255243169318</v>
      </c>
      <c r="W24" s="74"/>
    </row>
    <row r="25" spans="1:23">
      <c r="A25" s="89">
        <f t="shared" ca="1" si="3"/>
        <v>1</v>
      </c>
      <c r="B25" s="87">
        <v>4</v>
      </c>
      <c r="C25" s="23">
        <f t="shared" si="1"/>
        <v>4</v>
      </c>
      <c r="D25" s="24">
        <f t="shared" ca="1" si="8"/>
        <v>46434</v>
      </c>
      <c r="E25" s="25">
        <f ca="1">IFERROR(
         IF($C25&lt;=$F$9,IF((H24+G25)&gt;(Калькулятор!$W$21),ROUNDUP((Калькулятор!$W$21)*A25,2),(H24+G25)),""),
         "")</f>
        <v>1718.23</v>
      </c>
      <c r="F25" s="25">
        <f t="shared" ca="1" si="4"/>
        <v>333.92231551023769</v>
      </c>
      <c r="G25" s="25">
        <f t="shared" ca="1" si="5"/>
        <v>1384.3076844897623</v>
      </c>
      <c r="H25" s="25">
        <f t="shared" ca="1" si="6"/>
        <v>47142.660461687708</v>
      </c>
      <c r="J25" s="85">
        <f t="shared" si="7"/>
        <v>0.34989999999999999</v>
      </c>
      <c r="T25" s="23">
        <f>IF($B27&lt;=$F$9,B27,"")</f>
        <v>6</v>
      </c>
      <c r="U25" s="74">
        <f>IF(T25&gt;$F$9,"",1/(1+J27/12))</f>
        <v>0.97166778678369858</v>
      </c>
      <c r="V25" s="74">
        <f>IF($T25&gt;$F$9,"",PRODUCT($U$21:$U25))</f>
        <v>0.91737347097387978</v>
      </c>
      <c r="W25" s="74"/>
    </row>
    <row r="26" spans="1:23">
      <c r="A26" s="89">
        <f t="shared" ca="1" si="3"/>
        <v>1</v>
      </c>
      <c r="B26" s="87">
        <v>5</v>
      </c>
      <c r="C26" s="23">
        <f t="shared" si="1"/>
        <v>5</v>
      </c>
      <c r="D26" s="24">
        <f t="shared" ca="1" si="8"/>
        <v>46462</v>
      </c>
      <c r="E26" s="25">
        <f ca="1">IFERROR(
         IF($C26&lt;=$F$9,IF((H25+G26)&gt;(Калькулятор!$W$21),ROUNDUP((Калькулятор!$W$21)*A26,2),(H25+G26)),""),
         "")</f>
        <v>1718.23</v>
      </c>
      <c r="F26" s="25">
        <f t="shared" ca="1" si="4"/>
        <v>343.65872028799322</v>
      </c>
      <c r="G26" s="25">
        <f t="shared" ca="1" si="5"/>
        <v>1374.5712797120068</v>
      </c>
      <c r="H26" s="25">
        <f t="shared" ca="1" si="6"/>
        <v>46799.001741399712</v>
      </c>
      <c r="J26" s="85">
        <f t="shared" si="7"/>
        <v>0.34989999999999999</v>
      </c>
      <c r="T26" s="23">
        <f>IF($B28&lt;=$F$9,B28,"")</f>
        <v>7</v>
      </c>
      <c r="U26" s="74">
        <f>IF(T26&gt;$F$9,"",1/(1+J28/12))</f>
        <v>0.97166778678369858</v>
      </c>
      <c r="V26" s="74">
        <f>IF($T26&gt;$F$9,"",PRODUCT($U$21:$U26))</f>
        <v>0.89138225019526929</v>
      </c>
      <c r="W26" s="74"/>
    </row>
    <row r="27" spans="1:23">
      <c r="A27" s="89">
        <f t="shared" ca="1" si="3"/>
        <v>1</v>
      </c>
      <c r="B27" s="87">
        <v>6</v>
      </c>
      <c r="C27" s="23">
        <f t="shared" si="1"/>
        <v>6</v>
      </c>
      <c r="D27" s="24">
        <f t="shared" ca="1" si="8"/>
        <v>46493</v>
      </c>
      <c r="E27" s="25">
        <f ca="1">IFERROR(
         IF($C27&lt;=$F$9,IF((H26+G27)&gt;(Калькулятор!$W$21),ROUNDUP((Калькулятор!$W$21)*A27,2),(H26+G27)),""),
         "")</f>
        <v>1718.23</v>
      </c>
      <c r="F27" s="25">
        <f t="shared" ca="1" si="4"/>
        <v>353.67901617932012</v>
      </c>
      <c r="G27" s="25">
        <f t="shared" ca="1" si="5"/>
        <v>1364.5509838206799</v>
      </c>
      <c r="H27" s="25">
        <f t="shared" ca="1" si="6"/>
        <v>46445.322725220387</v>
      </c>
      <c r="J27" s="85">
        <f t="shared" si="7"/>
        <v>0.34989999999999999</v>
      </c>
      <c r="T27" s="23">
        <f>IF($B29&lt;=$F$9,B29,"")</f>
        <v>8</v>
      </c>
      <c r="U27" s="74">
        <f>IF(T27&gt;$F$9,"",1/(1+J29/12))</f>
        <v>0.97166778678369858</v>
      </c>
      <c r="V27" s="74">
        <f>IF($T27&gt;$F$9,"",PRODUCT($U$21:$U27))</f>
        <v>0.86612741822551043</v>
      </c>
      <c r="W27" s="74"/>
    </row>
    <row r="28" spans="1:23">
      <c r="A28" s="89">
        <f t="shared" ca="1" si="3"/>
        <v>1</v>
      </c>
      <c r="B28" s="87">
        <v>7</v>
      </c>
      <c r="C28" s="23">
        <f t="shared" si="1"/>
        <v>7</v>
      </c>
      <c r="D28" s="24">
        <f t="shared" ca="1" si="8"/>
        <v>46523</v>
      </c>
      <c r="E28" s="25">
        <f ca="1">IFERROR(
         IF($C28&lt;=$F$9,IF((H27+G28)&gt;(Калькулятор!$W$21),ROUNDUP((Калькулятор!$W$21)*A28,2),(H27+G28)),""),
         "")</f>
        <v>1718.23</v>
      </c>
      <c r="F28" s="25">
        <f t="shared" ca="1" si="4"/>
        <v>363.99148079450651</v>
      </c>
      <c r="G28" s="25">
        <f t="shared" ca="1" si="5"/>
        <v>1354.2385192054935</v>
      </c>
      <c r="H28" s="25">
        <f t="shared" ca="1" si="6"/>
        <v>46081.331244425877</v>
      </c>
      <c r="J28" s="85">
        <f t="shared" si="7"/>
        <v>0.34989999999999999</v>
      </c>
      <c r="T28" s="23">
        <f>IF($B30&lt;=$F$9,B30,"")</f>
        <v>9</v>
      </c>
      <c r="U28" s="74">
        <f>IF(T28&gt;$F$9,"",1/(1+J30/12))</f>
        <v>0.97166778678369858</v>
      </c>
      <c r="V28" s="74">
        <f>IF($T28&gt;$F$9,"",PRODUCT($U$21:$U28))</f>
        <v>0.84158811153986057</v>
      </c>
      <c r="W28" s="74"/>
    </row>
    <row r="29" spans="1:23">
      <c r="A29" s="89">
        <f t="shared" ca="1" si="3"/>
        <v>1</v>
      </c>
      <c r="B29" s="87">
        <v>8</v>
      </c>
      <c r="C29" s="23">
        <f t="shared" si="1"/>
        <v>8</v>
      </c>
      <c r="D29" s="24">
        <f t="shared" ca="1" si="8"/>
        <v>46554</v>
      </c>
      <c r="E29" s="25">
        <f ca="1">IFERROR(
         IF($C29&lt;=$F$9,IF((H28+G29)&gt;(Калькулятор!$W$21),ROUNDUP((Калькулятор!$W$21)*A29,2),(H28+G29)),""),
         "")</f>
        <v>1718.23</v>
      </c>
      <c r="F29" s="25">
        <f t="shared" ca="1" si="4"/>
        <v>374.60463309987085</v>
      </c>
      <c r="G29" s="25">
        <f t="shared" ca="1" si="5"/>
        <v>1343.6253669001292</v>
      </c>
      <c r="H29" s="25">
        <f t="shared" ca="1" si="6"/>
        <v>45706.726611326005</v>
      </c>
      <c r="J29" s="85">
        <f t="shared" si="7"/>
        <v>0.34989999999999999</v>
      </c>
      <c r="T29" s="23">
        <f t="shared" si="0"/>
        <v>10</v>
      </c>
      <c r="U29" s="74">
        <f t="shared" si="2"/>
        <v>0.97166778678369858</v>
      </c>
      <c r="V29" s="74">
        <f>IF($T29&gt;$F$9,"",PRODUCT($U$21:$U29))</f>
        <v>0.81774405772340875</v>
      </c>
      <c r="W29" s="74"/>
    </row>
    <row r="30" spans="1:23">
      <c r="A30" s="89">
        <f t="shared" ca="1" si="3"/>
        <v>1</v>
      </c>
      <c r="B30" s="87">
        <v>9</v>
      </c>
      <c r="C30" s="23">
        <f t="shared" si="1"/>
        <v>9</v>
      </c>
      <c r="D30" s="24">
        <f t="shared" ca="1" si="8"/>
        <v>46584</v>
      </c>
      <c r="E30" s="25">
        <f ca="1">IFERROR(
         IF($C30&lt;=$F$9,IF((H29+G30)&gt;(Калькулятор!$W$21),ROUNDUP((Калькулятор!$W$21)*A30,2),(H29+G30)),""),
         "")</f>
        <v>1718.23</v>
      </c>
      <c r="F30" s="25">
        <f t="shared" ca="1" si="4"/>
        <v>385.52724045514765</v>
      </c>
      <c r="G30" s="25">
        <f t="shared" ca="1" si="5"/>
        <v>1332.7027595448524</v>
      </c>
      <c r="H30" s="25">
        <f t="shared" ca="1" si="6"/>
        <v>45321.199370870854</v>
      </c>
      <c r="J30" s="85">
        <f t="shared" si="7"/>
        <v>0.34989999999999999</v>
      </c>
      <c r="T30" s="23">
        <f t="shared" si="0"/>
        <v>11</v>
      </c>
      <c r="U30" s="74">
        <f t="shared" si="2"/>
        <v>0.97166778678369858</v>
      </c>
      <c r="V30" s="74">
        <f>IF($T30&gt;$F$9,"",PRODUCT($U$21:$U30))</f>
        <v>0.79457555872362562</v>
      </c>
      <c r="W30" s="74"/>
    </row>
    <row r="31" spans="1:23">
      <c r="A31" s="89">
        <f t="shared" ca="1" si="3"/>
        <v>1</v>
      </c>
      <c r="B31" s="87">
        <v>10</v>
      </c>
      <c r="C31" s="23">
        <f t="shared" si="1"/>
        <v>10</v>
      </c>
      <c r="D31" s="24">
        <f t="shared" ca="1" si="8"/>
        <v>46615</v>
      </c>
      <c r="E31" s="25">
        <f ca="1">IFERROR(
         IF($C31&lt;=$F$9,IF((H30+G31)&gt;(Калькулятор!$W$21),ROUNDUP((Калькулятор!$W$21)*A31,2),(H30+G31)),""),
         "")</f>
        <v>1718.23</v>
      </c>
      <c r="F31" s="25">
        <f t="shared" ca="1" si="4"/>
        <v>396.76832585606485</v>
      </c>
      <c r="G31" s="25">
        <f t="shared" ca="1" si="5"/>
        <v>1321.4616741439352</v>
      </c>
      <c r="H31" s="25">
        <f t="shared" ca="1" si="6"/>
        <v>44924.43104501479</v>
      </c>
      <c r="J31" s="85">
        <f t="shared" si="7"/>
        <v>0.34989999999999999</v>
      </c>
      <c r="T31" s="23">
        <f t="shared" si="0"/>
        <v>12</v>
      </c>
      <c r="U31" s="74">
        <f t="shared" si="2"/>
        <v>0.97166778678369858</v>
      </c>
      <c r="V31" s="74">
        <f>IF($T31&gt;$F$9,"",PRODUCT($U$21:$U31))</f>
        <v>0.77206347457740598</v>
      </c>
      <c r="W31" s="74"/>
    </row>
    <row r="32" spans="1:23">
      <c r="A32" s="89">
        <f t="shared" ca="1" si="3"/>
        <v>1</v>
      </c>
      <c r="B32" s="87">
        <v>11</v>
      </c>
      <c r="C32" s="23">
        <f t="shared" si="1"/>
        <v>11</v>
      </c>
      <c r="D32" s="24">
        <f t="shared" ca="1" si="8"/>
        <v>46646</v>
      </c>
      <c r="E32" s="25">
        <f ca="1">IFERROR(
         IF($C32&lt;=$F$9,IF((H31+G32)&gt;(Калькулятор!$W$21),ROUNDUP((Калькулятор!$W$21)*A32,2),(H31+G32)),""),
         "")</f>
        <v>1718.23</v>
      </c>
      <c r="F32" s="25">
        <f t="shared" ca="1" si="4"/>
        <v>408.33717538810174</v>
      </c>
      <c r="G32" s="25">
        <f t="shared" ca="1" si="5"/>
        <v>1309.8928246118983</v>
      </c>
      <c r="H32" s="25">
        <f t="shared" ca="1" si="6"/>
        <v>44516.093869626682</v>
      </c>
      <c r="J32" s="85">
        <f t="shared" si="7"/>
        <v>0.34989999999999999</v>
      </c>
      <c r="T32" s="23">
        <f t="shared" si="0"/>
        <v>13</v>
      </c>
      <c r="U32" s="74">
        <f t="shared" si="2"/>
        <v>0.97166778678369858</v>
      </c>
      <c r="V32" s="74">
        <f>IF($T32&gt;$F$9,"",PRODUCT($U$21:$U32))</f>
        <v>0.75018920759916041</v>
      </c>
      <c r="W32" s="74"/>
    </row>
    <row r="33" spans="1:23">
      <c r="A33" s="89">
        <f t="shared" ca="1" si="3"/>
        <v>1</v>
      </c>
      <c r="B33" s="87">
        <v>12</v>
      </c>
      <c r="C33" s="23">
        <f t="shared" si="1"/>
        <v>12</v>
      </c>
      <c r="D33" s="24">
        <f t="shared" ca="1" si="8"/>
        <v>46676</v>
      </c>
      <c r="E33" s="25">
        <f ca="1">IFERROR(
         IF($C33&lt;=$F$9,IF((H32+G33)&gt;(Калькулятор!$W$21),ROUNDUP((Калькулятор!$W$21)*A33,2),(H32+G33)),""),
         "")</f>
        <v>1718.23</v>
      </c>
      <c r="F33" s="25">
        <f t="shared" ca="1" si="4"/>
        <v>420.24334589757814</v>
      </c>
      <c r="G33" s="25">
        <f t="shared" ca="1" si="5"/>
        <v>1297.9866541024219</v>
      </c>
      <c r="H33" s="25">
        <f t="shared" ca="1" si="6"/>
        <v>44095.850523729103</v>
      </c>
      <c r="J33" s="85">
        <f t="shared" si="7"/>
        <v>0.34989999999999999</v>
      </c>
      <c r="T33" s="23">
        <f t="shared" si="0"/>
        <v>14</v>
      </c>
      <c r="U33" s="74">
        <f t="shared" si="2"/>
        <v>0.97166778678369858</v>
      </c>
      <c r="V33" s="74">
        <f>IF($T33&gt;$F$9,"",PRODUCT($U$21:$U33))</f>
        <v>0.72893468701689279</v>
      </c>
      <c r="W33" s="74"/>
    </row>
    <row r="34" spans="1:23">
      <c r="A34" s="89">
        <f t="shared" ca="1" si="3"/>
        <v>1</v>
      </c>
      <c r="B34" s="87">
        <v>13</v>
      </c>
      <c r="C34" s="23">
        <f t="shared" si="1"/>
        <v>13</v>
      </c>
      <c r="D34" s="24">
        <f t="shared" ca="1" si="8"/>
        <v>46707</v>
      </c>
      <c r="E34" s="25">
        <f ca="1">IFERROR(
         IF($C34&lt;=$F$9,IF((H33+G34)&gt;(Калькулятор!$W$21),ROUNDUP((Калькулятор!$W$21)*A34,2),(H33+G34)),""),
         "")</f>
        <v>1718.23</v>
      </c>
      <c r="F34" s="25">
        <f t="shared" ca="1" si="4"/>
        <v>432.49667288641763</v>
      </c>
      <c r="G34" s="25">
        <f t="shared" ca="1" si="5"/>
        <v>1285.7333271135824</v>
      </c>
      <c r="H34" s="25">
        <f t="shared" ca="1" si="6"/>
        <v>43663.353850842679</v>
      </c>
      <c r="J34" s="85">
        <f t="shared" si="7"/>
        <v>0.34989999999999999</v>
      </c>
      <c r="T34" s="23">
        <f t="shared" si="0"/>
        <v>15</v>
      </c>
      <c r="U34" s="74">
        <f t="shared" si="2"/>
        <v>0.97166778678369858</v>
      </c>
      <c r="V34" s="74">
        <f>IF($T34&gt;$F$9,"",PRODUCT($U$21:$U34))</f>
        <v>0.7082823540435722</v>
      </c>
      <c r="W34" s="74"/>
    </row>
    <row r="35" spans="1:23">
      <c r="A35" s="89">
        <f t="shared" ca="1" si="3"/>
        <v>1</v>
      </c>
      <c r="B35" s="87">
        <v>14</v>
      </c>
      <c r="C35" s="23">
        <f t="shared" si="1"/>
        <v>14</v>
      </c>
      <c r="D35" s="24">
        <f t="shared" ca="1" si="8"/>
        <v>46737</v>
      </c>
      <c r="E35" s="25">
        <f ca="1">IFERROR(
         IF($C35&lt;=$F$9,IF((H34+G35)&gt;(Калькулятор!$W$21),ROUNDUP((Калькулятор!$W$21)*A35,2),(H34+G35)),""),
         "")</f>
        <v>1718.23</v>
      </c>
      <c r="F35" s="25">
        <f t="shared" ca="1" si="4"/>
        <v>445.10727863710122</v>
      </c>
      <c r="G35" s="25">
        <f t="shared" ca="1" si="5"/>
        <v>1273.1227213628988</v>
      </c>
      <c r="H35" s="25">
        <f t="shared" ca="1" si="6"/>
        <v>43218.246572205571</v>
      </c>
      <c r="J35" s="85">
        <f t="shared" si="7"/>
        <v>0.34989999999999999</v>
      </c>
      <c r="T35" s="23">
        <f t="shared" si="0"/>
        <v>16</v>
      </c>
      <c r="U35" s="74">
        <f t="shared" si="2"/>
        <v>0.97166778678369858</v>
      </c>
      <c r="V35" s="74">
        <f>IF($T35&gt;$F$9,"",PRODUCT($U$21:$U35))</f>
        <v>0.68821514737146583</v>
      </c>
      <c r="W35" s="74"/>
    </row>
    <row r="36" spans="1:23">
      <c r="A36" s="89">
        <f t="shared" ca="1" si="3"/>
        <v>1</v>
      </c>
      <c r="B36" s="87">
        <v>15</v>
      </c>
      <c r="C36" s="23">
        <f t="shared" si="1"/>
        <v>15</v>
      </c>
      <c r="D36" s="24">
        <f t="shared" ca="1" si="8"/>
        <v>46768</v>
      </c>
      <c r="E36" s="25">
        <f ca="1">IFERROR(
         IF($C36&lt;=$F$9,IF((H35+G36)&gt;(Калькулятор!$W$21),ROUNDUP((Калькулятор!$W$21)*A36,2),(H35+G36)),""),
         "")</f>
        <v>1718.23</v>
      </c>
      <c r="F36" s="25">
        <f t="shared" ca="1" si="4"/>
        <v>458.08558057452728</v>
      </c>
      <c r="G36" s="25">
        <f t="shared" ca="1" si="5"/>
        <v>1260.1444194254727</v>
      </c>
      <c r="H36" s="25">
        <f t="shared" ca="1" si="6"/>
        <v>42760.160991631041</v>
      </c>
      <c r="J36" s="85">
        <f t="shared" si="7"/>
        <v>0.34989999999999999</v>
      </c>
      <c r="T36" s="23">
        <f t="shared" si="0"/>
        <v>17</v>
      </c>
      <c r="U36" s="74">
        <f t="shared" si="2"/>
        <v>0.97166778678369858</v>
      </c>
      <c r="V36" s="74">
        <f>IF($T36&gt;$F$9,"",PRODUCT($U$21:$U36))</f>
        <v>0.66871648907744918</v>
      </c>
      <c r="W36" s="74"/>
    </row>
    <row r="37" spans="1:23">
      <c r="A37" s="89">
        <f t="shared" ca="1" si="3"/>
        <v>1</v>
      </c>
      <c r="B37" s="87">
        <v>16</v>
      </c>
      <c r="C37" s="23">
        <f t="shared" si="1"/>
        <v>16</v>
      </c>
      <c r="D37" s="24">
        <f t="shared" ca="1" si="8"/>
        <v>46799</v>
      </c>
      <c r="E37" s="25">
        <f ca="1">IFERROR(
         IF($C37&lt;=$F$9,IF((H36+G37)&gt;(Калькулятор!$W$21),ROUNDUP((Калькулятор!$W$21)*A37,2),(H36+G37)),""),
         "")</f>
        <v>1718.23</v>
      </c>
      <c r="F37" s="25">
        <f t="shared" ca="1" si="4"/>
        <v>471.44229987168433</v>
      </c>
      <c r="G37" s="25">
        <f t="shared" ca="1" si="5"/>
        <v>1246.7877001283157</v>
      </c>
      <c r="H37" s="25">
        <f t="shared" ca="1" si="6"/>
        <v>42288.71869175935</v>
      </c>
      <c r="J37" s="85">
        <f t="shared" si="7"/>
        <v>0.34989999999999999</v>
      </c>
      <c r="T37" s="23">
        <f t="shared" si="0"/>
        <v>18</v>
      </c>
      <c r="U37" s="74">
        <f t="shared" si="2"/>
        <v>0.97166778678369858</v>
      </c>
      <c r="V37" s="74">
        <f>IF($T37&gt;$F$9,"",PRODUCT($U$21:$U37))</f>
        <v>0.64977027092765038</v>
      </c>
      <c r="W37" s="74"/>
    </row>
    <row r="38" spans="1:23">
      <c r="A38" s="89">
        <f t="shared" ca="1" si="3"/>
        <v>1</v>
      </c>
      <c r="B38" s="87">
        <v>17</v>
      </c>
      <c r="C38" s="23">
        <f t="shared" si="1"/>
        <v>17</v>
      </c>
      <c r="D38" s="24">
        <f t="shared" ca="1" si="8"/>
        <v>46828</v>
      </c>
      <c r="E38" s="25">
        <f ca="1">IFERROR(
         IF($C38&lt;=$F$9,IF((H37+G38)&gt;(Калькулятор!$W$21),ROUNDUP((Калькулятор!$W$21)*A38,2),(H37+G38)),""),
         "")</f>
        <v>1718.23</v>
      </c>
      <c r="F38" s="25">
        <f t="shared" ca="1" si="4"/>
        <v>485.18847030624534</v>
      </c>
      <c r="G38" s="25">
        <f t="shared" ca="1" si="5"/>
        <v>1233.0415296937547</v>
      </c>
      <c r="H38" s="25">
        <f t="shared" ca="1" si="6"/>
        <v>41803.530221453104</v>
      </c>
      <c r="J38" s="85">
        <f t="shared" si="7"/>
        <v>0.34989999999999999</v>
      </c>
      <c r="T38" s="23">
        <f t="shared" si="0"/>
        <v>19</v>
      </c>
      <c r="U38" s="74">
        <f t="shared" si="2"/>
        <v>0.97166778678369858</v>
      </c>
      <c r="V38" s="74">
        <f>IF($T38&gt;$F$9,"",PRODUCT($U$21:$U38))</f>
        <v>0.63136084107011425</v>
      </c>
      <c r="W38" s="74"/>
    </row>
    <row r="39" spans="1:23">
      <c r="A39" s="89">
        <f t="shared" ca="1" si="3"/>
        <v>1</v>
      </c>
      <c r="B39" s="87">
        <v>18</v>
      </c>
      <c r="C39" s="23">
        <f t="shared" si="1"/>
        <v>18</v>
      </c>
      <c r="D39" s="24">
        <f t="shared" ca="1" si="8"/>
        <v>46859</v>
      </c>
      <c r="E39" s="25">
        <f ca="1">IFERROR(
         IF($C39&lt;=$F$9,IF((H38+G39)&gt;(Калькулятор!$W$21),ROUNDUP((Калькулятор!$W$21)*A39,2),(H38+G39)),""),
         "")</f>
        <v>1718.23</v>
      </c>
      <c r="F39" s="25">
        <f t="shared" ca="1" si="4"/>
        <v>499.33544737539819</v>
      </c>
      <c r="G39" s="25">
        <f t="shared" ca="1" si="5"/>
        <v>1218.8945526246018</v>
      </c>
      <c r="H39" s="25">
        <f t="shared" ca="1" si="6"/>
        <v>41304.194774077703</v>
      </c>
      <c r="J39" s="85">
        <f t="shared" si="7"/>
        <v>0.34989999999999999</v>
      </c>
      <c r="T39" s="23">
        <f t="shared" si="0"/>
        <v>20</v>
      </c>
      <c r="U39" s="74">
        <f t="shared" si="2"/>
        <v>0.97166778678369858</v>
      </c>
      <c r="V39" s="74">
        <f>IF($T39&gt;$F$9,"",PRODUCT($U$21:$U39))</f>
        <v>0.61347299110449238</v>
      </c>
      <c r="W39" s="74"/>
    </row>
    <row r="40" spans="1:23">
      <c r="A40" s="89">
        <f t="shared" ca="1" si="3"/>
        <v>1</v>
      </c>
      <c r="B40" s="87">
        <v>19</v>
      </c>
      <c r="C40" s="23">
        <f t="shared" si="1"/>
        <v>19</v>
      </c>
      <c r="D40" s="24">
        <f t="shared" ca="1" si="8"/>
        <v>46889</v>
      </c>
      <c r="E40" s="25">
        <f ca="1">IFERROR(
         IF($C40&lt;=$F$9,IF((H39+G40)&gt;(Калькулятор!$W$21),ROUNDUP((Калькулятор!$W$21)*A40,2),(H39+G40)),""),
         "")</f>
        <v>1718.23</v>
      </c>
      <c r="F40" s="25">
        <f t="shared" ca="1" si="4"/>
        <v>513.89491767644722</v>
      </c>
      <c r="G40" s="25">
        <f t="shared" ca="1" si="5"/>
        <v>1204.3350823235528</v>
      </c>
      <c r="H40" s="25">
        <f t="shared" ca="1" si="6"/>
        <v>40790.299856401252</v>
      </c>
      <c r="J40" s="85">
        <f t="shared" si="7"/>
        <v>0.34989999999999999</v>
      </c>
      <c r="T40" s="23">
        <f t="shared" si="0"/>
        <v>21</v>
      </c>
      <c r="U40" s="74">
        <f t="shared" si="2"/>
        <v>0.97166778678369858</v>
      </c>
      <c r="V40" s="74">
        <f>IF($T40&gt;$F$9,"",PRODUCT($U$21:$U40))</f>
        <v>0.5960919435180777</v>
      </c>
      <c r="W40" s="74"/>
    </row>
    <row r="41" spans="1:23">
      <c r="A41" s="89">
        <f t="shared" ca="1" si="3"/>
        <v>1</v>
      </c>
      <c r="B41" s="87">
        <v>20</v>
      </c>
      <c r="C41" s="23">
        <f t="shared" si="1"/>
        <v>20</v>
      </c>
      <c r="D41" s="24">
        <f t="shared" ca="1" si="8"/>
        <v>46920</v>
      </c>
      <c r="E41" s="25">
        <f ca="1">IFERROR(
         IF($C41&lt;=$F$9,IF((H40+G41)&gt;(Калькулятор!$W$21),ROUNDUP((Калькулятор!$W$21)*A41,2),(H40+G41)),""),
         "")</f>
        <v>1718.23</v>
      </c>
      <c r="F41" s="25">
        <f t="shared" ca="1" si="4"/>
        <v>528.87890856092622</v>
      </c>
      <c r="G41" s="25">
        <f t="shared" ca="1" si="5"/>
        <v>1189.3510914390738</v>
      </c>
      <c r="H41" s="25">
        <f t="shared" ca="1" si="6"/>
        <v>40261.420947840321</v>
      </c>
      <c r="J41" s="85">
        <f t="shared" si="7"/>
        <v>0.34989999999999999</v>
      </c>
      <c r="T41" s="23">
        <f t="shared" si="0"/>
        <v>22</v>
      </c>
      <c r="U41" s="74">
        <f t="shared" si="2"/>
        <v>0.97166778678369858</v>
      </c>
      <c r="V41" s="74">
        <f>IF($T41&gt;$F$9,"",PRODUCT($U$21:$U41))</f>
        <v>0.579203339477804</v>
      </c>
      <c r="W41" s="74"/>
    </row>
    <row r="42" spans="1:23">
      <c r="A42" s="89">
        <f t="shared" ca="1" si="3"/>
        <v>1</v>
      </c>
      <c r="B42" s="87">
        <v>21</v>
      </c>
      <c r="C42" s="23">
        <f t="shared" si="1"/>
        <v>21</v>
      </c>
      <c r="D42" s="24">
        <f t="shared" ca="1" si="8"/>
        <v>46950</v>
      </c>
      <c r="E42" s="25">
        <f ca="1">IFERROR(
         IF($C42&lt;=$F$9,IF((H41+G42)&gt;(Калькулятор!$W$21),ROUNDUP((Калькулятор!$W$21)*A42,2),(H41+G42)),""),
         "")</f>
        <v>1718.23</v>
      </c>
      <c r="F42" s="25">
        <f t="shared" ca="1" si="4"/>
        <v>544.29979807020823</v>
      </c>
      <c r="G42" s="25">
        <f t="shared" ca="1" si="5"/>
        <v>1173.9302019297918</v>
      </c>
      <c r="H42" s="25">
        <f t="shared" ca="1" si="6"/>
        <v>39717.121149770108</v>
      </c>
      <c r="J42" s="85">
        <f t="shared" si="7"/>
        <v>0.34989999999999999</v>
      </c>
      <c r="T42" s="23">
        <f t="shared" si="0"/>
        <v>23</v>
      </c>
      <c r="U42" s="74">
        <f t="shared" si="2"/>
        <v>0.97166778678369858</v>
      </c>
      <c r="V42" s="74">
        <f>IF($T42&gt;$F$9,"",PRODUCT($U$21:$U42))</f>
        <v>0.56279322696812506</v>
      </c>
      <c r="W42" s="74"/>
    </row>
    <row r="43" spans="1:23">
      <c r="A43" s="89">
        <f t="shared" ca="1" si="3"/>
        <v>1</v>
      </c>
      <c r="B43" s="87">
        <v>22</v>
      </c>
      <c r="C43" s="23">
        <f t="shared" si="1"/>
        <v>22</v>
      </c>
      <c r="D43" s="24">
        <f t="shared" ca="1" si="8"/>
        <v>46981</v>
      </c>
      <c r="E43" s="25">
        <f ca="1">IFERROR(
         IF($C43&lt;=$F$9,IF((H42+G43)&gt;(Калькулятор!$W$21),ROUNDUP((Калькулятор!$W$21)*A43,2),(H42+G43)),""),
         "")</f>
        <v>1718.23</v>
      </c>
      <c r="F43" s="25">
        <f t="shared" ca="1" si="4"/>
        <v>560.17032516081235</v>
      </c>
      <c r="G43" s="25">
        <f t="shared" ca="1" si="5"/>
        <v>1158.0596748391877</v>
      </c>
      <c r="H43" s="25">
        <f t="shared" ca="1" si="6"/>
        <v>39156.950824609296</v>
      </c>
      <c r="J43" s="85">
        <f t="shared" si="7"/>
        <v>0.34989999999999999</v>
      </c>
      <c r="T43" s="23">
        <f t="shared" si="0"/>
        <v>24</v>
      </c>
      <c r="U43" s="74">
        <f t="shared" si="2"/>
        <v>0.97166778678369858</v>
      </c>
      <c r="V43" s="74">
        <f>IF($T43&gt;$F$9,"",PRODUCT($U$21:$U43))</f>
        <v>0.54684804926497388</v>
      </c>
      <c r="W43" s="74"/>
    </row>
    <row r="44" spans="1:23">
      <c r="A44" s="89">
        <f t="shared" ca="1" si="3"/>
        <v>1</v>
      </c>
      <c r="B44" s="87">
        <v>23</v>
      </c>
      <c r="C44" s="23">
        <f t="shared" si="1"/>
        <v>23</v>
      </c>
      <c r="D44" s="24">
        <f t="shared" ca="1" si="8"/>
        <v>47012</v>
      </c>
      <c r="E44" s="25">
        <f ca="1">IFERROR(
         IF($C44&lt;=$F$9,IF((H43+G44)&gt;(Калькулятор!$W$21),ROUNDUP((Калькулятор!$W$21)*A44,2),(H43+G44)),""),
         "")</f>
        <v>1718.23</v>
      </c>
      <c r="F44" s="25">
        <f t="shared" ca="1" si="4"/>
        <v>576.50360022785594</v>
      </c>
      <c r="G44" s="25">
        <f t="shared" ca="1" si="5"/>
        <v>1141.7263997721441</v>
      </c>
      <c r="H44" s="25">
        <f t="shared" ca="1" si="6"/>
        <v>38580.447224381438</v>
      </c>
      <c r="J44" s="85">
        <f t="shared" si="7"/>
        <v>0.34989999999999999</v>
      </c>
      <c r="T44" s="23">
        <f t="shared" si="0"/>
        <v>25</v>
      </c>
      <c r="U44" s="74">
        <f t="shared" si="2"/>
        <v>0.97166778678369858</v>
      </c>
      <c r="V44" s="74">
        <f>IF($T44&gt;$F$9,"",PRODUCT($U$21:$U44))</f>
        <v>0.53135463373628011</v>
      </c>
      <c r="W44" s="74"/>
    </row>
    <row r="45" spans="1:23">
      <c r="A45" s="89">
        <f t="shared" ca="1" si="3"/>
        <v>1</v>
      </c>
      <c r="B45" s="87">
        <v>24</v>
      </c>
      <c r="C45" s="23">
        <f t="shared" si="1"/>
        <v>24</v>
      </c>
      <c r="D45" s="24">
        <f t="shared" ca="1" si="8"/>
        <v>47042</v>
      </c>
      <c r="E45" s="25">
        <f ca="1">IFERROR(
         IF($C45&lt;=$F$9,IF((H44+G45)&gt;(Калькулятор!$W$21),ROUNDUP((Калькулятор!$W$21)*A45,2),(H44+G45)),""),
         "")</f>
        <v>1718.23</v>
      </c>
      <c r="F45" s="25">
        <f t="shared" ca="1" si="4"/>
        <v>593.31311593534974</v>
      </c>
      <c r="G45" s="25">
        <f t="shared" ca="1" si="5"/>
        <v>1124.9168840646503</v>
      </c>
      <c r="H45" s="25">
        <f t="shared" ca="1" si="6"/>
        <v>37987.134108446087</v>
      </c>
      <c r="J45" s="85">
        <f t="shared" si="7"/>
        <v>0.34989999999999999</v>
      </c>
      <c r="T45" s="23">
        <f t="shared" si="0"/>
        <v>26</v>
      </c>
      <c r="U45" s="74">
        <f t="shared" si="2"/>
        <v>0.97166778678369858</v>
      </c>
      <c r="V45" s="74">
        <f>IF($T45&gt;$F$9,"",PRODUCT($U$21:$U45))</f>
        <v>0.51630018095979413</v>
      </c>
      <c r="W45" s="74"/>
    </row>
    <row r="46" spans="1:23">
      <c r="A46" s="89">
        <f t="shared" ca="1" si="3"/>
        <v>1</v>
      </c>
      <c r="B46" s="87">
        <v>25</v>
      </c>
      <c r="C46" s="23">
        <f t="shared" si="1"/>
        <v>25</v>
      </c>
      <c r="D46" s="24">
        <f t="shared" ca="1" si="8"/>
        <v>47073</v>
      </c>
      <c r="E46" s="25">
        <f ca="1">IFERROR(
         IF($C46&lt;=$F$9,IF((H45+G46)&gt;(Калькулятор!$W$21),ROUNDUP((Калькулятор!$W$21)*A46,2),(H45+G46)),""),
         "")</f>
        <v>1718.23</v>
      </c>
      <c r="F46" s="25">
        <f t="shared" ca="1" si="4"/>
        <v>610.6127583622756</v>
      </c>
      <c r="G46" s="25">
        <f t="shared" ca="1" si="5"/>
        <v>1107.6172416377244</v>
      </c>
      <c r="H46" s="25">
        <f t="shared" ca="1" si="6"/>
        <v>37376.521350083807</v>
      </c>
      <c r="J46" s="85">
        <f t="shared" si="7"/>
        <v>0.34989999999999999</v>
      </c>
      <c r="T46" s="23">
        <f t="shared" si="0"/>
        <v>27</v>
      </c>
      <c r="U46" s="74">
        <f t="shared" si="2"/>
        <v>0.97166778678369858</v>
      </c>
      <c r="V46" s="74">
        <f>IF($T46&gt;$F$9,"",PRODUCT($U$21:$U46))</f>
        <v>0.50167225414922623</v>
      </c>
      <c r="W46" s="74"/>
    </row>
    <row r="47" spans="1:23">
      <c r="A47" s="89">
        <f t="shared" ca="1" si="3"/>
        <v>1</v>
      </c>
      <c r="B47" s="87">
        <v>26</v>
      </c>
      <c r="C47" s="23">
        <f t="shared" si="1"/>
        <v>26</v>
      </c>
      <c r="D47" s="24">
        <f t="shared" ca="1" si="8"/>
        <v>47103</v>
      </c>
      <c r="E47" s="25">
        <f ca="1">IFERROR(
         IF($C47&lt;=$F$9,IF((H46+G47)&gt;(Калькулятор!$W$21),ROUNDUP((Калькулятор!$W$21)*A47,2),(H46+G47)),""),
         "")</f>
        <v>1718.23</v>
      </c>
      <c r="F47" s="25">
        <f t="shared" ca="1" si="4"/>
        <v>628.4168184736609</v>
      </c>
      <c r="G47" s="25">
        <f t="shared" ca="1" si="5"/>
        <v>1089.8131815263391</v>
      </c>
      <c r="H47" s="25">
        <f t="shared" ca="1" si="6"/>
        <v>36748.104531610144</v>
      </c>
      <c r="J47" s="85">
        <f t="shared" si="7"/>
        <v>0.34989999999999999</v>
      </c>
      <c r="T47" s="23">
        <f t="shared" si="0"/>
        <v>28</v>
      </c>
      <c r="U47" s="74">
        <f t="shared" si="2"/>
        <v>0.97166778678369858</v>
      </c>
      <c r="V47" s="74">
        <f>IF($T47&gt;$F$9,"",PRODUCT($U$21:$U47))</f>
        <v>0.48745876887996781</v>
      </c>
      <c r="W47" s="74"/>
    </row>
    <row r="48" spans="1:23">
      <c r="A48" s="89">
        <f t="shared" ca="1" si="3"/>
        <v>1</v>
      </c>
      <c r="B48" s="87">
        <v>27</v>
      </c>
      <c r="C48" s="23">
        <f t="shared" si="1"/>
        <v>27</v>
      </c>
      <c r="D48" s="24">
        <f t="shared" ca="1" si="8"/>
        <v>47134</v>
      </c>
      <c r="E48" s="25">
        <f ca="1">IFERROR(
         IF($C48&lt;=$F$9,IF((H47+G48)&gt;(Калькулятор!$W$21),ROUNDUP((Калькулятор!$W$21)*A48,2),(H47+G48)),""),
         "")</f>
        <v>1718.23</v>
      </c>
      <c r="F48" s="25">
        <f t="shared" ca="1" si="4"/>
        <v>646.74000392612174</v>
      </c>
      <c r="G48" s="25">
        <f t="shared" ca="1" si="5"/>
        <v>1071.4899960738783</v>
      </c>
      <c r="H48" s="25">
        <f t="shared" ca="1" si="6"/>
        <v>36101.364527684018</v>
      </c>
      <c r="J48" s="85">
        <f t="shared" si="7"/>
        <v>0.34989999999999999</v>
      </c>
      <c r="T48" s="23">
        <f t="shared" si="0"/>
        <v>29</v>
      </c>
      <c r="U48" s="74">
        <f t="shared" si="2"/>
        <v>0.97166778678369858</v>
      </c>
      <c r="V48" s="74">
        <f>IF($T48&gt;$F$9,"",PRODUCT($U$21:$U48))</f>
        <v>0.47364798310590478</v>
      </c>
      <c r="W48" s="74"/>
    </row>
    <row r="49" spans="1:23">
      <c r="A49" s="89">
        <f t="shared" ca="1" si="3"/>
        <v>1</v>
      </c>
      <c r="B49" s="87">
        <v>28</v>
      </c>
      <c r="C49" s="23">
        <f t="shared" si="1"/>
        <v>28</v>
      </c>
      <c r="D49" s="24">
        <f t="shared" ca="1" si="8"/>
        <v>47165</v>
      </c>
      <c r="E49" s="25">
        <f ca="1">IFERROR(
         IF($C49&lt;=$F$9,IF((H48+G49)&gt;(Калькулятор!$W$21),ROUNDUP((Калькулятор!$W$21)*A49,2),(H48+G49)),""),
         "")</f>
        <v>1718.23</v>
      </c>
      <c r="F49" s="25">
        <f t="shared" ca="1" si="4"/>
        <v>665.59745121762876</v>
      </c>
      <c r="G49" s="25">
        <f t="shared" ca="1" si="5"/>
        <v>1052.6325487823713</v>
      </c>
      <c r="H49" s="25">
        <f t="shared" ca="1" si="6"/>
        <v>35435.767076466385</v>
      </c>
      <c r="J49" s="85">
        <f t="shared" si="7"/>
        <v>0.34989999999999999</v>
      </c>
      <c r="T49" s="23">
        <f t="shared" si="0"/>
        <v>30</v>
      </c>
      <c r="U49" s="74">
        <f t="shared" si="2"/>
        <v>0.97166778678369858</v>
      </c>
      <c r="V49" s="74">
        <f>IF($T49&gt;$F$9,"",PRODUCT($U$21:$U49))</f>
        <v>0.46022848745907713</v>
      </c>
      <c r="W49" s="74"/>
    </row>
    <row r="50" spans="1:23">
      <c r="A50" s="89">
        <f t="shared" ca="1" si="3"/>
        <v>1</v>
      </c>
      <c r="B50" s="87">
        <v>29</v>
      </c>
      <c r="C50" s="23">
        <f t="shared" si="1"/>
        <v>29</v>
      </c>
      <c r="D50" s="24">
        <f t="shared" ca="1" si="8"/>
        <v>47193</v>
      </c>
      <c r="E50" s="25">
        <f ca="1">IFERROR(
         IF($C50&lt;=$F$9,IF((H49+G50)&gt;(Калькулятор!$W$21),ROUNDUP((Калькулятор!$W$21)*A50,2),(H49+G50)),""),
         "")</f>
        <v>1718.23</v>
      </c>
      <c r="F50" s="25">
        <f t="shared" ca="1" si="4"/>
        <v>685.00473819153217</v>
      </c>
      <c r="G50" s="25">
        <f t="shared" ca="1" si="5"/>
        <v>1033.2252618084678</v>
      </c>
      <c r="H50" s="25">
        <f t="shared" ca="1" si="6"/>
        <v>34750.76233827485</v>
      </c>
      <c r="J50" s="85">
        <f t="shared" si="7"/>
        <v>0.34989999999999999</v>
      </c>
      <c r="T50" s="23">
        <f t="shared" si="0"/>
        <v>31</v>
      </c>
      <c r="U50" s="74">
        <f t="shared" si="2"/>
        <v>0.97166778678369858</v>
      </c>
      <c r="V50" s="74">
        <f>IF($T50&gt;$F$9,"",PRODUCT($U$21:$U50))</f>
        <v>0.44718919582417066</v>
      </c>
      <c r="W50" s="74"/>
    </row>
    <row r="51" spans="1:23">
      <c r="A51" s="89">
        <f t="shared" ca="1" si="3"/>
        <v>1</v>
      </c>
      <c r="B51" s="87">
        <v>30</v>
      </c>
      <c r="C51" s="23">
        <f t="shared" si="1"/>
        <v>30</v>
      </c>
      <c r="D51" s="24">
        <f t="shared" ca="1" si="8"/>
        <v>47224</v>
      </c>
      <c r="E51" s="25">
        <f ca="1">IFERROR(
         IF($C51&lt;=$F$9,IF((H50+G51)&gt;(Калькулятор!$W$21),ROUNDUP((Калькулятор!$W$21)*A51,2),(H50+G51)),""),
         "")</f>
        <v>1718.23</v>
      </c>
      <c r="F51" s="25">
        <f t="shared" ca="1" si="4"/>
        <v>704.97789690517629</v>
      </c>
      <c r="G51" s="25">
        <f t="shared" ca="1" si="5"/>
        <v>1013.2521030948237</v>
      </c>
      <c r="H51" s="25">
        <f t="shared" ca="1" si="6"/>
        <v>34045.784441369673</v>
      </c>
      <c r="J51" s="85">
        <f t="shared" si="7"/>
        <v>0.34989999999999999</v>
      </c>
      <c r="T51" s="23">
        <f t="shared" si="0"/>
        <v>32</v>
      </c>
      <c r="U51" s="74">
        <f t="shared" si="2"/>
        <v>0.97166778678369858</v>
      </c>
      <c r="V51" s="74">
        <f>IF($T51&gt;$F$9,"",PRODUCT($U$21:$U51))</f>
        <v>0.43451933618005389</v>
      </c>
      <c r="W51" s="74"/>
    </row>
    <row r="52" spans="1:23">
      <c r="A52" s="89">
        <f t="shared" ca="1" si="3"/>
        <v>1</v>
      </c>
      <c r="B52" s="87">
        <v>31</v>
      </c>
      <c r="C52" s="23">
        <f t="shared" si="1"/>
        <v>31</v>
      </c>
      <c r="D52" s="24">
        <f t="shared" ca="1" si="8"/>
        <v>47254</v>
      </c>
      <c r="E52" s="25">
        <f ca="1">IFERROR(
         IF($C52&lt;=$F$9,IF((H51+G52)&gt;(Калькулятор!$W$21),ROUNDUP((Калькулятор!$W$21)*A52,2),(H51+G52)),""),
         "")</f>
        <v>1718.23</v>
      </c>
      <c r="F52" s="25">
        <f t="shared" ca="1" si="4"/>
        <v>725.53342687373129</v>
      </c>
      <c r="G52" s="25">
        <f t="shared" ca="1" si="5"/>
        <v>992.69657312626873</v>
      </c>
      <c r="H52" s="25">
        <f t="shared" ca="1" si="6"/>
        <v>33320.251014495938</v>
      </c>
      <c r="J52" s="85">
        <f t="shared" si="7"/>
        <v>0.34989999999999999</v>
      </c>
      <c r="T52" s="23">
        <f t="shared" ref="T52:T83" si="9">IF($B54&lt;=$F$9,B54,"")</f>
        <v>33</v>
      </c>
      <c r="U52" s="74">
        <f t="shared" si="2"/>
        <v>0.97166778678369858</v>
      </c>
      <c r="V52" s="74">
        <f>IF($T52&gt;$F$9,"",PRODUCT($U$21:$U52))</f>
        <v>0.42220844170079486</v>
      </c>
      <c r="W52" s="74"/>
    </row>
    <row r="53" spans="1:23">
      <c r="A53" s="89">
        <f t="shared" ca="1" si="3"/>
        <v>1</v>
      </c>
      <c r="B53" s="87">
        <v>32</v>
      </c>
      <c r="C53" s="23">
        <f t="shared" si="1"/>
        <v>32</v>
      </c>
      <c r="D53" s="24">
        <f t="shared" ca="1" si="8"/>
        <v>47285</v>
      </c>
      <c r="E53" s="25">
        <f ca="1">IFERROR(
         IF($C53&lt;=$F$9,IF((H52+G53)&gt;(Калькулятор!$W$21),ROUNDUP((Калькулятор!$W$21)*A53,2),(H52+G53)),""),
         "")</f>
        <v>1718.23</v>
      </c>
      <c r="F53" s="25">
        <f t="shared" ca="1" si="4"/>
        <v>746.68830870018564</v>
      </c>
      <c r="G53" s="25">
        <f t="shared" ca="1" si="5"/>
        <v>971.54169129981437</v>
      </c>
      <c r="H53" s="25">
        <f t="shared" ca="1" si="6"/>
        <v>32573.56270579575</v>
      </c>
      <c r="J53" s="85">
        <f t="shared" si="7"/>
        <v>0.34989999999999999</v>
      </c>
      <c r="T53" s="23">
        <f t="shared" si="9"/>
        <v>34</v>
      </c>
      <c r="U53" s="74">
        <f t="shared" si="2"/>
        <v>0.97166778678369858</v>
      </c>
      <c r="V53" s="74">
        <f>IF($T53&gt;$F$9,"",PRODUCT($U$21:$U53))</f>
        <v>0.41024634210880556</v>
      </c>
      <c r="W53" s="74"/>
    </row>
    <row r="54" spans="1:23">
      <c r="A54" s="89">
        <f t="shared" ca="1" si="3"/>
        <v>1</v>
      </c>
      <c r="B54" s="87">
        <v>33</v>
      </c>
      <c r="C54" s="23">
        <f t="shared" ref="C54:C85" si="10">IF(ISNUMBER(Maxamount),
IF($B54&lt;=$F$9,B54,""),"")</f>
        <v>33</v>
      </c>
      <c r="D54" s="24">
        <f t="shared" ca="1" si="8"/>
        <v>47315</v>
      </c>
      <c r="E54" s="25">
        <f ca="1">IFERROR(
         IF($C54&lt;=$F$9,IF((H53+G54)&gt;(Калькулятор!$W$21),ROUNDUP((Калькулятор!$W$21)*A54,2),(H53+G54)),""),
         "")</f>
        <v>1718.23</v>
      </c>
      <c r="F54" s="25">
        <f t="shared" ca="1" si="4"/>
        <v>768.46001810275823</v>
      </c>
      <c r="G54" s="25">
        <f t="shared" ca="1" si="5"/>
        <v>949.76998189724179</v>
      </c>
      <c r="H54" s="25">
        <f t="shared" ca="1" si="6"/>
        <v>31805.102687692994</v>
      </c>
      <c r="J54" s="85">
        <f t="shared" si="7"/>
        <v>0.34989999999999999</v>
      </c>
      <c r="T54" s="23">
        <f t="shared" si="9"/>
        <v>35</v>
      </c>
      <c r="U54" s="74">
        <f t="shared" si="2"/>
        <v>0.97166778678369858</v>
      </c>
      <c r="V54" s="74">
        <f>IF($T54&gt;$F$9,"",PRODUCT($U$21:$U54))</f>
        <v>0.39862315527297115</v>
      </c>
      <c r="W54" s="74"/>
    </row>
    <row r="55" spans="1:23">
      <c r="A55" s="89">
        <f t="shared" ca="1" si="3"/>
        <v>1</v>
      </c>
      <c r="B55" s="87">
        <v>34</v>
      </c>
      <c r="C55" s="23">
        <f t="shared" si="10"/>
        <v>34</v>
      </c>
      <c r="D55" s="24">
        <f t="shared" ca="1" si="8"/>
        <v>47346</v>
      </c>
      <c r="E55" s="25">
        <f ca="1">IFERROR(
         IF($C55&lt;=$F$9,IF((H54+G55)&gt;(Калькулятор!$W$21),ROUNDUP((Калькулятор!$W$21)*A55,2),(H54+G55)),""),
         "")</f>
        <v>1718.23</v>
      </c>
      <c r="F55" s="25">
        <f t="shared" ca="1" si="4"/>
        <v>790.86654035131596</v>
      </c>
      <c r="G55" s="25">
        <f t="shared" ca="1" si="5"/>
        <v>927.36345964868406</v>
      </c>
      <c r="H55" s="25">
        <f t="shared" ca="1" si="6"/>
        <v>31014.236147341679</v>
      </c>
      <c r="J55" s="85">
        <f t="shared" si="7"/>
        <v>0.34989999999999999</v>
      </c>
      <c r="T55" s="23">
        <f t="shared" si="9"/>
        <v>36</v>
      </c>
      <c r="U55" s="74">
        <f t="shared" si="2"/>
        <v>0.97166778678369858</v>
      </c>
      <c r="V55" s="74">
        <f>IF($T55&gt;$F$9,"",PRODUCT($U$21:$U55))</f>
        <v>0.38732927904482251</v>
      </c>
      <c r="W55" s="74"/>
    </row>
    <row r="56" spans="1:23">
      <c r="A56" s="89">
        <f t="shared" ca="1" si="3"/>
        <v>1</v>
      </c>
      <c r="B56" s="87">
        <v>35</v>
      </c>
      <c r="C56" s="23">
        <f t="shared" si="10"/>
        <v>35</v>
      </c>
      <c r="D56" s="24">
        <f t="shared" ca="1" si="8"/>
        <v>47377</v>
      </c>
      <c r="E56" s="25">
        <f ca="1">IFERROR(
         IF($C56&lt;=$F$9,IF((H55+G56)&gt;(Калькулятор!$W$21),ROUNDUP((Калькулятор!$W$21)*A56,2),(H55+G56)),""),
         "")</f>
        <v>1718.23</v>
      </c>
      <c r="F56" s="25">
        <f t="shared" ca="1" si="4"/>
        <v>813.92638512472661</v>
      </c>
      <c r="G56" s="25">
        <f t="shared" ca="1" si="5"/>
        <v>904.30361487527341</v>
      </c>
      <c r="H56" s="25">
        <f t="shared" ca="1" si="6"/>
        <v>30200.309762216952</v>
      </c>
      <c r="J56" s="85">
        <f t="shared" si="7"/>
        <v>0.34989999999999999</v>
      </c>
      <c r="T56" s="23">
        <f t="shared" si="9"/>
        <v>37</v>
      </c>
      <c r="U56" s="74">
        <f t="shared" si="2"/>
        <v>0.97166778678369858</v>
      </c>
      <c r="V56" s="74">
        <f>IF($T56&gt;$F$9,"",PRODUCT($U$21:$U56))</f>
        <v>0.37635538332600826</v>
      </c>
      <c r="W56" s="74"/>
    </row>
    <row r="57" spans="1:23">
      <c r="A57" s="89">
        <f t="shared" ca="1" si="3"/>
        <v>1</v>
      </c>
      <c r="B57" s="87">
        <v>36</v>
      </c>
      <c r="C57" s="23">
        <f t="shared" si="10"/>
        <v>36</v>
      </c>
      <c r="D57" s="24">
        <f t="shared" ca="1" si="8"/>
        <v>47407</v>
      </c>
      <c r="E57" s="25">
        <f ca="1">IFERROR(
         IF($C57&lt;=$F$9,IF((H56+G57)&gt;(Калькулятор!$W$21),ROUNDUP((Калькулятор!$W$21)*A57,2),(H56+G57)),""),
         "")</f>
        <v>1718.23</v>
      </c>
      <c r="F57" s="25">
        <f t="shared" ca="1" si="4"/>
        <v>837.65860180141374</v>
      </c>
      <c r="G57" s="25">
        <f t="shared" ca="1" si="5"/>
        <v>880.57139819858628</v>
      </c>
      <c r="H57" s="25">
        <f t="shared" ca="1" si="6"/>
        <v>29362.651160415538</v>
      </c>
      <c r="J57" s="85">
        <f t="shared" si="7"/>
        <v>0.34989999999999999</v>
      </c>
      <c r="T57" s="23">
        <f t="shared" si="9"/>
        <v>38</v>
      </c>
      <c r="U57" s="74">
        <f t="shared" si="2"/>
        <v>0.97166778678369858</v>
      </c>
      <c r="V57" s="74">
        <f>IF($T57&gt;$F$9,"",PRODUCT($U$21:$U57))</f>
        <v>0.36569240236051292</v>
      </c>
      <c r="W57" s="74"/>
    </row>
    <row r="58" spans="1:23">
      <c r="A58" s="89">
        <f t="shared" ca="1" si="3"/>
        <v>1</v>
      </c>
      <c r="B58" s="87">
        <v>37</v>
      </c>
      <c r="C58" s="23">
        <f t="shared" si="10"/>
        <v>37</v>
      </c>
      <c r="D58" s="24">
        <f t="shared" ca="1" si="8"/>
        <v>47438</v>
      </c>
      <c r="E58" s="25">
        <f ca="1">IFERROR(
         IF($C58&lt;=$F$9,IF((H57+G58)&gt;(Калькулятор!$W$21),ROUNDUP((Калькулятор!$W$21)*A58,2),(H57+G58)),""),
         "")</f>
        <v>1718.23</v>
      </c>
      <c r="F58" s="25">
        <f t="shared" ca="1" si="4"/>
        <v>862.08279519575308</v>
      </c>
      <c r="G58" s="25">
        <f t="shared" ca="1" si="5"/>
        <v>856.14720480424694</v>
      </c>
      <c r="H58" s="25">
        <f t="shared" ca="1" si="6"/>
        <v>28500.568365219788</v>
      </c>
      <c r="J58" s="85">
        <f t="shared" si="7"/>
        <v>0.34989999999999999</v>
      </c>
      <c r="T58" s="23">
        <f t="shared" si="9"/>
        <v>39</v>
      </c>
      <c r="U58" s="74">
        <f t="shared" si="2"/>
        <v>0.97166778678369858</v>
      </c>
      <c r="V58" s="74">
        <f>IF($T58&gt;$F$9,"",PRODUCT($U$21:$U58))</f>
        <v>0.35533152724525341</v>
      </c>
      <c r="W58" s="74"/>
    </row>
    <row r="59" spans="1:23">
      <c r="A59" s="89">
        <f t="shared" ca="1" si="3"/>
        <v>1</v>
      </c>
      <c r="B59" s="87">
        <v>38</v>
      </c>
      <c r="C59" s="23">
        <f t="shared" si="10"/>
        <v>38</v>
      </c>
      <c r="D59" s="24">
        <f t="shared" ca="1" si="8"/>
        <v>47468</v>
      </c>
      <c r="E59" s="25">
        <f ca="1">IFERROR(
         IF($C59&lt;=$F$9,IF((H58+G59)&gt;(Калькулятор!$W$21),ROUNDUP((Калькулятор!$W$21)*A59,2),(H58+G59)),""),
         "")</f>
        <v>1718.23</v>
      </c>
      <c r="F59" s="25">
        <f t="shared" ca="1" si="4"/>
        <v>887.2191417533038</v>
      </c>
      <c r="G59" s="25">
        <f t="shared" ca="1" si="5"/>
        <v>831.01085824669622</v>
      </c>
      <c r="H59" s="25">
        <f t="shared" ca="1" si="6"/>
        <v>27613.349223466485</v>
      </c>
      <c r="J59" s="85">
        <f t="shared" si="7"/>
        <v>0.34989999999999999</v>
      </c>
      <c r="T59" s="23">
        <f t="shared" si="9"/>
        <v>40</v>
      </c>
      <c r="U59" s="74">
        <f t="shared" si="2"/>
        <v>0.97166778678369858</v>
      </c>
      <c r="V59" s="74">
        <f>IF($T59&gt;$F$9,"",PRODUCT($U$21:$U59))</f>
        <v>0.34526419865286689</v>
      </c>
      <c r="W59" s="74"/>
    </row>
    <row r="60" spans="1:23">
      <c r="A60" s="89">
        <f t="shared" ca="1" si="3"/>
        <v>1</v>
      </c>
      <c r="B60" s="87">
        <v>39</v>
      </c>
      <c r="C60" s="23">
        <f t="shared" si="10"/>
        <v>39</v>
      </c>
      <c r="D60" s="24">
        <f t="shared" ca="1" si="8"/>
        <v>47499</v>
      </c>
      <c r="E60" s="25">
        <f ca="1">IFERROR(
         IF($C60&lt;=$F$9,IF((H59+G60)&gt;(Калькулятор!$W$21),ROUNDUP((Калькулятор!$W$21)*A60,2),(H59+G60)),""),
         "")</f>
        <v>1718.23</v>
      </c>
      <c r="F60" s="25">
        <f t="shared" ca="1" si="4"/>
        <v>913.08840621825573</v>
      </c>
      <c r="G60" s="25">
        <f t="shared" ca="1" si="5"/>
        <v>805.14159378174429</v>
      </c>
      <c r="H60" s="25">
        <f t="shared" ca="1" si="6"/>
        <v>26700.260817248229</v>
      </c>
      <c r="J60" s="85">
        <f t="shared" si="7"/>
        <v>0.34989999999999999</v>
      </c>
      <c r="T60" s="23">
        <f t="shared" si="9"/>
        <v>41</v>
      </c>
      <c r="U60" s="74">
        <f t="shared" si="2"/>
        <v>0.97166778678369858</v>
      </c>
      <c r="V60" s="74">
        <f>IF($T60&gt;$F$9,"",PRODUCT($U$21:$U60))</f>
        <v>0.33548209976067844</v>
      </c>
      <c r="W60" s="74"/>
    </row>
    <row r="61" spans="1:23">
      <c r="A61" s="89">
        <f t="shared" ca="1" si="3"/>
        <v>1</v>
      </c>
      <c r="B61" s="87">
        <v>40</v>
      </c>
      <c r="C61" s="23">
        <f t="shared" si="10"/>
        <v>40</v>
      </c>
      <c r="D61" s="24">
        <f t="shared" ca="1" si="8"/>
        <v>47530</v>
      </c>
      <c r="E61" s="25">
        <f ca="1">IFERROR(
         IF($C61&lt;=$F$9,IF((H60+G61)&gt;(Калькулятор!$W$21),ROUNDUP((Калькулятор!$W$21)*A61,2),(H60+G61)),""),
         "")</f>
        <v>1718.23</v>
      </c>
      <c r="F61" s="25">
        <f t="shared" ca="1" si="4"/>
        <v>939.71195878686024</v>
      </c>
      <c r="G61" s="25">
        <f t="shared" ca="1" si="5"/>
        <v>778.51804121313978</v>
      </c>
      <c r="H61" s="25">
        <f t="shared" ca="1" si="6"/>
        <v>25760.54885846137</v>
      </c>
      <c r="J61" s="85">
        <f t="shared" si="7"/>
        <v>0.34989999999999999</v>
      </c>
      <c r="T61" s="23">
        <f t="shared" si="9"/>
        <v>42</v>
      </c>
      <c r="U61" s="74">
        <f t="shared" si="2"/>
        <v>0.97166778678369858</v>
      </c>
      <c r="V61" s="74">
        <f>IF($T61&gt;$F$9,"",PRODUCT($U$21:$U61))</f>
        <v>0.32597714938000638</v>
      </c>
      <c r="W61" s="74"/>
    </row>
    <row r="62" spans="1:23">
      <c r="A62" s="89">
        <f t="shared" ca="1" si="3"/>
        <v>1</v>
      </c>
      <c r="B62" s="87">
        <v>41</v>
      </c>
      <c r="C62" s="23">
        <f t="shared" si="10"/>
        <v>41</v>
      </c>
      <c r="D62" s="24">
        <f t="shared" ca="1" si="8"/>
        <v>47558</v>
      </c>
      <c r="E62" s="25">
        <f ca="1">IFERROR(
         IF($C62&lt;=$F$9,IF((H61+G62)&gt;(Калькулятор!$W$21),ROUNDUP((Калькулятор!$W$21)*A62,2),(H61+G62)),""),
         "")</f>
        <v>1718.23</v>
      </c>
      <c r="F62" s="25">
        <f t="shared" ca="1" si="4"/>
        <v>967.11179276101802</v>
      </c>
      <c r="G62" s="25">
        <f t="shared" ca="1" si="5"/>
        <v>751.118207238982</v>
      </c>
      <c r="H62" s="25">
        <f t="shared" ca="1" si="6"/>
        <v>24793.437065700353</v>
      </c>
      <c r="J62" s="85">
        <f t="shared" si="7"/>
        <v>0.34989999999999999</v>
      </c>
      <c r="T62" s="23">
        <f t="shared" si="9"/>
        <v>43</v>
      </c>
      <c r="U62" s="74">
        <f t="shared" si="2"/>
        <v>0.97166778678369858</v>
      </c>
      <c r="V62" s="74">
        <f>IF($T62&gt;$F$9,"",PRODUCT($U$21:$U62))</f>
        <v>0.3167414952801299</v>
      </c>
      <c r="W62" s="74"/>
    </row>
    <row r="63" spans="1:23">
      <c r="A63" s="89">
        <f t="shared" ca="1" si="3"/>
        <v>1</v>
      </c>
      <c r="B63" s="87">
        <v>42</v>
      </c>
      <c r="C63" s="23">
        <f t="shared" si="10"/>
        <v>42</v>
      </c>
      <c r="D63" s="24">
        <f t="shared" ca="1" si="8"/>
        <v>47589</v>
      </c>
      <c r="E63" s="25">
        <f ca="1">IFERROR(
         IF($C63&lt;=$F$9,IF((H62+G63)&gt;(Калькулятор!$W$21),ROUNDUP((Калькулятор!$W$21)*A63,2),(H62+G63)),""),
         "")</f>
        <v>1718.23</v>
      </c>
      <c r="F63" s="25">
        <f t="shared" ca="1" si="4"/>
        <v>995.31054271660093</v>
      </c>
      <c r="G63" s="25">
        <f t="shared" ca="1" si="5"/>
        <v>722.91945728339908</v>
      </c>
      <c r="H63" s="25">
        <f t="shared" ca="1" si="6"/>
        <v>23798.126522983752</v>
      </c>
      <c r="J63" s="85">
        <f t="shared" si="7"/>
        <v>0.34989999999999999</v>
      </c>
      <c r="T63" s="23">
        <f t="shared" si="9"/>
        <v>44</v>
      </c>
      <c r="U63" s="74">
        <f t="shared" si="2"/>
        <v>0.97166778678369858</v>
      </c>
      <c r="V63" s="74">
        <f>IF($T63&gt;$F$9,"",PRODUCT($U$21:$U63))</f>
        <v>0.30776750770140315</v>
      </c>
      <c r="W63" s="74"/>
    </row>
    <row r="64" spans="1:23">
      <c r="A64" s="89">
        <f t="shared" ca="1" si="3"/>
        <v>1</v>
      </c>
      <c r="B64" s="87">
        <v>43</v>
      </c>
      <c r="C64" s="23">
        <f t="shared" si="10"/>
        <v>43</v>
      </c>
      <c r="D64" s="24">
        <f t="shared" ca="1" si="8"/>
        <v>47619</v>
      </c>
      <c r="E64" s="25">
        <f ca="1">IFERROR(
         IF($C64&lt;=$F$9,IF((H63+G64)&gt;(Калькулятор!$W$21),ROUNDUP((Калькулятор!$W$21)*A64,2),(H63+G64)),""),
         "")</f>
        <v>1718.23</v>
      </c>
      <c r="F64" s="25">
        <f t="shared" ca="1" si="4"/>
        <v>1024.3315032015246</v>
      </c>
      <c r="G64" s="25">
        <f t="shared" ca="1" si="5"/>
        <v>693.89849679847543</v>
      </c>
      <c r="H64" s="25">
        <f t="shared" ca="1" si="6"/>
        <v>22773.795019782228</v>
      </c>
      <c r="J64" s="85">
        <f t="shared" si="7"/>
        <v>0.34989999999999999</v>
      </c>
      <c r="T64" s="23">
        <f t="shared" si="9"/>
        <v>45</v>
      </c>
      <c r="U64" s="74">
        <f t="shared" si="2"/>
        <v>0.97166778678369858</v>
      </c>
      <c r="V64" s="74">
        <f>IF($T64&gt;$F$9,"",PRODUCT($U$21:$U64))</f>
        <v>0.2990477730521573</v>
      </c>
      <c r="W64" s="74"/>
    </row>
    <row r="65" spans="1:23">
      <c r="A65" s="89">
        <f t="shared" ca="1" si="3"/>
        <v>1</v>
      </c>
      <c r="B65" s="87">
        <v>44</v>
      </c>
      <c r="C65" s="23">
        <f t="shared" si="10"/>
        <v>44</v>
      </c>
      <c r="D65" s="24">
        <f t="shared" ca="1" si="8"/>
        <v>47650</v>
      </c>
      <c r="E65" s="25">
        <f ca="1">IFERROR(
         IF($C65&lt;=$F$9,IF((H64+G65)&gt;(Калькулятор!$W$21),ROUNDUP((Калькулятор!$W$21)*A65,2),(H64+G65)),""),
         "")</f>
        <v>1718.23</v>
      </c>
      <c r="F65" s="25">
        <f t="shared" ca="1" si="4"/>
        <v>1054.1986479790096</v>
      </c>
      <c r="G65" s="25">
        <f t="shared" ca="1" si="5"/>
        <v>664.03135202099043</v>
      </c>
      <c r="H65" s="25">
        <f t="shared" ca="1" si="6"/>
        <v>21719.596371803218</v>
      </c>
      <c r="J65" s="85">
        <f t="shared" si="7"/>
        <v>0.34989999999999999</v>
      </c>
      <c r="T65" s="23">
        <f t="shared" si="9"/>
        <v>46</v>
      </c>
      <c r="U65" s="74">
        <f t="shared" si="2"/>
        <v>0.97166778678369858</v>
      </c>
      <c r="V65" s="74">
        <f>IF($T65&gt;$F$9,"",PRODUCT($U$21:$U65))</f>
        <v>0.29057508778418345</v>
      </c>
      <c r="W65" s="74"/>
    </row>
    <row r="66" spans="1:23">
      <c r="A66" s="89">
        <f t="shared" ca="1" si="3"/>
        <v>1</v>
      </c>
      <c r="B66" s="87">
        <v>45</v>
      </c>
      <c r="C66" s="23">
        <f t="shared" si="10"/>
        <v>45</v>
      </c>
      <c r="D66" s="24">
        <f t="shared" ca="1" si="8"/>
        <v>47680</v>
      </c>
      <c r="E66" s="25">
        <f ca="1">IFERROR(
         IF($C66&lt;=$F$9,IF((H65+G66)&gt;(Калькулятор!$W$21),ROUNDUP((Калькулятор!$W$21)*A66,2),(H65+G66)),""),
         "")</f>
        <v>1718.23</v>
      </c>
      <c r="F66" s="25">
        <f t="shared" ca="1" si="4"/>
        <v>1084.9366498319346</v>
      </c>
      <c r="G66" s="25">
        <f t="shared" ca="1" si="5"/>
        <v>633.29335016806533</v>
      </c>
      <c r="H66" s="25">
        <f t="shared" ca="1" si="6"/>
        <v>20634.659721971282</v>
      </c>
      <c r="J66" s="85">
        <f t="shared" si="7"/>
        <v>0.34989999999999999</v>
      </c>
      <c r="T66" s="23">
        <f t="shared" si="9"/>
        <v>47</v>
      </c>
      <c r="U66" s="74">
        <f t="shared" si="2"/>
        <v>0.97166778678369858</v>
      </c>
      <c r="V66" s="74">
        <f>IF($T66&gt;$F$9,"",PRODUCT($U$21:$U66))</f>
        <v>0.28234245244173645</v>
      </c>
      <c r="W66" s="74"/>
    </row>
    <row r="67" spans="1:23">
      <c r="A67" s="89">
        <f t="shared" ca="1" si="3"/>
        <v>1</v>
      </c>
      <c r="B67" s="87">
        <v>46</v>
      </c>
      <c r="C67" s="23">
        <f t="shared" si="10"/>
        <v>46</v>
      </c>
      <c r="D67" s="24">
        <f t="shared" ca="1" si="8"/>
        <v>47711</v>
      </c>
      <c r="E67" s="25">
        <f ca="1">IFERROR(
         IF($C67&lt;=$F$9,IF((H66+G67)&gt;(Калькулятор!$W$21),ROUNDUP((Калькулятор!$W$21)*A67,2),(H66+G67)),""),
         "")</f>
        <v>1718.23</v>
      </c>
      <c r="F67" s="25">
        <f t="shared" ca="1" si="4"/>
        <v>1116.570900944638</v>
      </c>
      <c r="G67" s="25">
        <f t="shared" ca="1" si="5"/>
        <v>601.65909905536205</v>
      </c>
      <c r="H67" s="25">
        <f t="shared" ca="1" si="6"/>
        <v>19518.088821026646</v>
      </c>
      <c r="J67" s="85">
        <f t="shared" si="7"/>
        <v>0.34989999999999999</v>
      </c>
      <c r="T67" s="23">
        <f t="shared" si="9"/>
        <v>48</v>
      </c>
      <c r="U67" s="74">
        <f t="shared" si="2"/>
        <v>0.97166778678369858</v>
      </c>
      <c r="V67" s="74">
        <f>IF($T67&gt;$F$9,"",PRODUCT($U$21:$U67))</f>
        <v>0.27434306587914375</v>
      </c>
      <c r="W67" s="74"/>
    </row>
    <row r="68" spans="1:23">
      <c r="A68" s="89">
        <f t="shared" ca="1" si="3"/>
        <v>1</v>
      </c>
      <c r="B68" s="87">
        <v>47</v>
      </c>
      <c r="C68" s="23">
        <f t="shared" si="10"/>
        <v>47</v>
      </c>
      <c r="D68" s="24">
        <f t="shared" ca="1" si="8"/>
        <v>47742</v>
      </c>
      <c r="E68" s="25">
        <f ca="1">IFERROR(
         IF($C68&lt;=$F$9,IF((H67+G68)&gt;(Калькулятор!$W$21),ROUNDUP((Калькулятор!$W$21)*A68,2),(H67+G68)),""),
         "")</f>
        <v>1718.23</v>
      </c>
      <c r="F68" s="25">
        <f t="shared" ca="1" si="4"/>
        <v>1149.1275338790049</v>
      </c>
      <c r="G68" s="25">
        <f t="shared" ca="1" si="5"/>
        <v>569.10246612099513</v>
      </c>
      <c r="H68" s="25">
        <f t="shared" ca="1" si="6"/>
        <v>18368.961287147642</v>
      </c>
      <c r="J68" s="85">
        <f t="shared" si="7"/>
        <v>0.34989999999999999</v>
      </c>
      <c r="T68" s="23">
        <f t="shared" si="9"/>
        <v>49</v>
      </c>
      <c r="U68" s="74">
        <f t="shared" si="2"/>
        <v>0.97166778678369858</v>
      </c>
      <c r="V68" s="74">
        <f>IF($T68&gt;$F$9,"",PRODUCT($U$21:$U68))</f>
        <v>0.26657031964224204</v>
      </c>
      <c r="W68" s="74"/>
    </row>
    <row r="69" spans="1:23">
      <c r="A69" s="89">
        <f t="shared" ca="1" si="3"/>
        <v>1</v>
      </c>
      <c r="B69" s="87">
        <v>48</v>
      </c>
      <c r="C69" s="23">
        <f t="shared" si="10"/>
        <v>48</v>
      </c>
      <c r="D69" s="24">
        <f t="shared" ca="1" si="8"/>
        <v>47772</v>
      </c>
      <c r="E69" s="25">
        <f ca="1">IFERROR(
         IF($C69&lt;=$F$9,IF((H68+G69)&gt;(Калькулятор!$W$21),ROUNDUP((Калькулятор!$W$21)*A69,2),(H68+G69)),""),
         "")</f>
        <v>1718.23</v>
      </c>
      <c r="F69" s="25">
        <f t="shared" ca="1" si="4"/>
        <v>1182.6334431621701</v>
      </c>
      <c r="G69" s="25">
        <f t="shared" ca="1" si="5"/>
        <v>535.59655683782989</v>
      </c>
      <c r="H69" s="25">
        <f t="shared" ca="1" si="6"/>
        <v>17186.327843985473</v>
      </c>
      <c r="J69" s="85">
        <f t="shared" si="7"/>
        <v>0.34989999999999999</v>
      </c>
      <c r="T69" s="23">
        <f t="shared" si="9"/>
        <v>50</v>
      </c>
      <c r="U69" s="74">
        <f t="shared" si="2"/>
        <v>0.97166778678369858</v>
      </c>
      <c r="V69" s="74">
        <f>IF($T69&gt;$F$9,"",PRODUCT($U$21:$U69))</f>
        <v>0.25901779250900042</v>
      </c>
      <c r="W69" s="74"/>
    </row>
    <row r="70" spans="1:23">
      <c r="A70" s="89">
        <f t="shared" ca="1" si="3"/>
        <v>1</v>
      </c>
      <c r="B70" s="87">
        <v>49</v>
      </c>
      <c r="C70" s="23">
        <f t="shared" si="10"/>
        <v>49</v>
      </c>
      <c r="D70" s="24">
        <f t="shared" ca="1" si="8"/>
        <v>47803</v>
      </c>
      <c r="E70" s="25">
        <f ca="1">IFERROR(
         IF($C70&lt;=$F$9,IF((H69+G70)&gt;(Калькулятор!$W$21),ROUNDUP((Калькулятор!$W$21)*A70,2),(H69+G70)),""),
         "")</f>
        <v>1718.23</v>
      </c>
      <c r="F70" s="25">
        <f t="shared" ca="1" si="4"/>
        <v>1217.116307503667</v>
      </c>
      <c r="G70" s="25">
        <f t="shared" ca="1" si="5"/>
        <v>501.11369249633287</v>
      </c>
      <c r="H70" s="25">
        <f t="shared" ca="1" si="6"/>
        <v>15969.211536481806</v>
      </c>
      <c r="J70" s="85">
        <f t="shared" si="7"/>
        <v>0.34989999999999999</v>
      </c>
      <c r="T70" s="23">
        <f t="shared" si="9"/>
        <v>51</v>
      </c>
      <c r="U70" s="74">
        <f t="shared" si="2"/>
        <v>0.97166778678369858</v>
      </c>
      <c r="V70" s="74">
        <f>IF($T70&gt;$F$9,"",PRODUCT($U$21:$U70))</f>
        <v>0.25167924518481971</v>
      </c>
      <c r="W70" s="74"/>
    </row>
    <row r="71" spans="1:23">
      <c r="A71" s="89">
        <f t="shared" ca="1" si="3"/>
        <v>1</v>
      </c>
      <c r="B71" s="87">
        <v>50</v>
      </c>
      <c r="C71" s="23">
        <f t="shared" si="10"/>
        <v>50</v>
      </c>
      <c r="D71" s="24">
        <f t="shared" ca="1" si="8"/>
        <v>47833</v>
      </c>
      <c r="E71" s="25">
        <f ca="1">IFERROR(
         IF($C71&lt;=$F$9,IF((H70+G71)&gt;(Калькулятор!$W$21),ROUNDUP((Калькулятор!$W$21)*A71,2),(H70+G71)),""),
         "")</f>
        <v>1718.23</v>
      </c>
      <c r="F71" s="25">
        <f t="shared" ca="1" si="4"/>
        <v>1252.6046126603799</v>
      </c>
      <c r="G71" s="25">
        <f t="shared" ca="1" si="5"/>
        <v>465.62538733962015</v>
      </c>
      <c r="H71" s="25">
        <f t="shared" ca="1" si="6"/>
        <v>14716.606923821426</v>
      </c>
      <c r="J71" s="85">
        <f t="shared" si="7"/>
        <v>0.34989999999999999</v>
      </c>
      <c r="T71" s="23">
        <f t="shared" si="9"/>
        <v>52</v>
      </c>
      <c r="U71" s="74">
        <f t="shared" si="2"/>
        <v>0.97166778678369858</v>
      </c>
      <c r="V71" s="74">
        <f>IF($T71&gt;$F$9,"",PRODUCT($U$21:$U71))</f>
        <v>0.24454861514812559</v>
      </c>
      <c r="W71" s="74"/>
    </row>
    <row r="72" spans="1:23">
      <c r="A72" s="89">
        <f t="shared" ca="1" si="3"/>
        <v>1</v>
      </c>
      <c r="B72" s="87">
        <v>51</v>
      </c>
      <c r="C72" s="23">
        <f t="shared" si="10"/>
        <v>51</v>
      </c>
      <c r="D72" s="24">
        <f t="shared" ca="1" si="8"/>
        <v>47864</v>
      </c>
      <c r="E72" s="25">
        <f ca="1">IFERROR(
         IF($C72&lt;=$F$9,IF((H71+G72)&gt;(Калькулятор!$W$21),ROUNDUP((Калькулятор!$W$21)*A72,2),(H71+G72)),""),
         "")</f>
        <v>1718.23</v>
      </c>
      <c r="F72" s="25">
        <f t="shared" ca="1" si="4"/>
        <v>1289.1276749681811</v>
      </c>
      <c r="G72" s="25">
        <f t="shared" ca="1" si="5"/>
        <v>429.10232503181885</v>
      </c>
      <c r="H72" s="25">
        <f t="shared" ca="1" si="6"/>
        <v>13427.479248853246</v>
      </c>
      <c r="J72" s="85">
        <f t="shared" si="7"/>
        <v>0.34989999999999999</v>
      </c>
      <c r="T72" s="23">
        <f t="shared" si="9"/>
        <v>53</v>
      </c>
      <c r="U72" s="74">
        <f t="shared" si="2"/>
        <v>0.97166778678369858</v>
      </c>
      <c r="V72" s="74">
        <f>IF($T72&gt;$F$9,"",PRODUCT($U$21:$U72))</f>
        <v>0.23762001164199767</v>
      </c>
      <c r="W72" s="74"/>
    </row>
    <row r="73" spans="1:23">
      <c r="A73" s="89">
        <f t="shared" ca="1" si="3"/>
        <v>1</v>
      </c>
      <c r="B73" s="87">
        <v>52</v>
      </c>
      <c r="C73" s="23">
        <f t="shared" si="10"/>
        <v>52</v>
      </c>
      <c r="D73" s="24">
        <f t="shared" ca="1" si="8"/>
        <v>47895</v>
      </c>
      <c r="E73" s="25">
        <f ca="1">IFERROR(
         IF($C73&lt;=$F$9,IF((H72+G73)&gt;(Калькулятор!$W$21),ROUNDUP((Калькулятор!$W$21)*A73,2),(H72+G73)),""),
         "")</f>
        <v>1718.23</v>
      </c>
      <c r="F73" s="25">
        <f t="shared" ca="1" si="4"/>
        <v>1326.7156655597018</v>
      </c>
      <c r="G73" s="25">
        <f t="shared" ca="1" si="5"/>
        <v>391.51433444029806</v>
      </c>
      <c r="H73" s="25">
        <f t="shared" ca="1" si="6"/>
        <v>12100.763583293545</v>
      </c>
      <c r="J73" s="85">
        <f t="shared" si="7"/>
        <v>0.34989999999999999</v>
      </c>
      <c r="T73" s="23">
        <f t="shared" si="9"/>
        <v>54</v>
      </c>
      <c r="U73" s="74">
        <f t="shared" si="2"/>
        <v>0.97166778678369858</v>
      </c>
      <c r="V73" s="74">
        <f>IF($T73&gt;$F$9,"",PRODUCT($U$21:$U73))</f>
        <v>0.23088771080769657</v>
      </c>
      <c r="W73" s="74"/>
    </row>
    <row r="74" spans="1:23">
      <c r="A74" s="89">
        <f t="shared" ca="1" si="3"/>
        <v>1</v>
      </c>
      <c r="B74" s="87">
        <v>53</v>
      </c>
      <c r="C74" s="23">
        <f t="shared" si="10"/>
        <v>53</v>
      </c>
      <c r="D74" s="24">
        <f t="shared" ca="1" si="8"/>
        <v>47923</v>
      </c>
      <c r="E74" s="25">
        <f ca="1">IFERROR(
         IF($C74&lt;=$F$9,IF((H73+G74)&gt;(Калькулятор!$W$21),ROUNDUP((Калькулятор!$W$21)*A74,2),(H73+G74)),""),
         "")</f>
        <v>1718.23</v>
      </c>
      <c r="F74" s="25">
        <f t="shared" ca="1" si="4"/>
        <v>1365.3996352882334</v>
      </c>
      <c r="G74" s="25">
        <f t="shared" ca="1" si="5"/>
        <v>352.83036471176661</v>
      </c>
      <c r="H74" s="25">
        <f t="shared" ca="1" si="6"/>
        <v>10735.363948005312</v>
      </c>
      <c r="J74" s="85">
        <f t="shared" si="7"/>
        <v>0.34989999999999999</v>
      </c>
      <c r="T74" s="23">
        <f t="shared" si="9"/>
        <v>55</v>
      </c>
      <c r="U74" s="74">
        <f t="shared" si="2"/>
        <v>0.97166778678369858</v>
      </c>
      <c r="V74" s="74">
        <f>IF($T74&gt;$F$9,"",PRODUCT($U$21:$U74))</f>
        <v>0.22434615095606916</v>
      </c>
      <c r="W74" s="74"/>
    </row>
    <row r="75" spans="1:23">
      <c r="A75" s="89">
        <f t="shared" ca="1" si="3"/>
        <v>1</v>
      </c>
      <c r="B75" s="87">
        <v>54</v>
      </c>
      <c r="C75" s="23">
        <f t="shared" si="10"/>
        <v>54</v>
      </c>
      <c r="D75" s="24">
        <f t="shared" ca="1" si="8"/>
        <v>47954</v>
      </c>
      <c r="E75" s="25">
        <f ca="1">IFERROR(
         IF($C75&lt;=$F$9,IF((H74+G75)&gt;(Калькулятор!$W$21),ROUNDUP((Калькулятор!$W$21)*A75,2),(H74+G75)),""),
         "")</f>
        <v>1718.23</v>
      </c>
      <c r="F75" s="25">
        <f t="shared" ca="1" si="4"/>
        <v>1405.2115403783532</v>
      </c>
      <c r="G75" s="25">
        <f t="shared" ca="1" si="5"/>
        <v>313.0184596216468</v>
      </c>
      <c r="H75" s="25">
        <f t="shared" ca="1" si="6"/>
        <v>9330.1524076269598</v>
      </c>
      <c r="J75" s="85">
        <f t="shared" si="7"/>
        <v>0.34989999999999999</v>
      </c>
      <c r="T75" s="23">
        <f t="shared" si="9"/>
        <v>56</v>
      </c>
      <c r="U75" s="74">
        <f t="shared" si="2"/>
        <v>0.97166778678369858</v>
      </c>
      <c r="V75" s="74">
        <f>IF($T75&gt;$F$9,"",PRODUCT($U$21:$U75))</f>
        <v>0.21798992797292527</v>
      </c>
      <c r="W75" s="74"/>
    </row>
    <row r="76" spans="1:23">
      <c r="A76" s="89">
        <f t="shared" ca="1" si="3"/>
        <v>1</v>
      </c>
      <c r="B76" s="87">
        <v>55</v>
      </c>
      <c r="C76" s="23">
        <f t="shared" si="10"/>
        <v>55</v>
      </c>
      <c r="D76" s="24">
        <f t="shared" ca="1" si="8"/>
        <v>47984</v>
      </c>
      <c r="E76" s="25">
        <f ca="1">IFERROR(
         IF($C76&lt;=$F$9,IF((H75+G76)&gt;(Калькулятор!$W$21),ROUNDUP((Калькулятор!$W$21)*A76,2),(H75+G76)),""),
         "")</f>
        <v>1718.23</v>
      </c>
      <c r="F76" s="25">
        <f t="shared" ca="1" si="4"/>
        <v>1446.1842688244644</v>
      </c>
      <c r="G76" s="25">
        <f t="shared" ca="1" si="5"/>
        <v>272.04573117553565</v>
      </c>
      <c r="H76" s="25">
        <f t="shared" ca="1" si="6"/>
        <v>7883.9681388024965</v>
      </c>
      <c r="J76" s="85">
        <f t="shared" si="7"/>
        <v>0.34989999999999999</v>
      </c>
      <c r="T76" s="23">
        <f t="shared" si="9"/>
        <v>57</v>
      </c>
      <c r="U76" s="74">
        <f t="shared" si="2"/>
        <v>0.97166778678369858</v>
      </c>
      <c r="V76" s="74">
        <f>IF($T76&gt;$F$9,"",PRODUCT($U$21:$U76))</f>
        <v>0.21181379085459015</v>
      </c>
      <c r="W76" s="74"/>
    </row>
    <row r="77" spans="1:23">
      <c r="A77" s="89">
        <f t="shared" ca="1" si="3"/>
        <v>1</v>
      </c>
      <c r="B77" s="87">
        <v>56</v>
      </c>
      <c r="C77" s="23">
        <f t="shared" si="10"/>
        <v>56</v>
      </c>
      <c r="D77" s="24">
        <f t="shared" ca="1" si="8"/>
        <v>48015</v>
      </c>
      <c r="E77" s="25">
        <f ca="1">IFERROR(
         IF($C77&lt;=$F$9,IF((H76+G77)&gt;(Калькулятор!$W$21),ROUNDUP((Калькулятор!$W$21)*A77,2),(H76+G77)),""),
         "")</f>
        <v>1718.23</v>
      </c>
      <c r="F77" s="25">
        <f t="shared" ca="1" si="4"/>
        <v>1488.3516675590552</v>
      </c>
      <c r="G77" s="25">
        <f t="shared" ca="1" si="5"/>
        <v>229.87833244094486</v>
      </c>
      <c r="H77" s="25">
        <f t="shared" ca="1" si="6"/>
        <v>6395.616471243442</v>
      </c>
      <c r="J77" s="85">
        <f t="shared" si="7"/>
        <v>0.34989999999999999</v>
      </c>
      <c r="T77" s="23">
        <f t="shared" si="9"/>
        <v>58</v>
      </c>
      <c r="U77" s="74">
        <f t="shared" si="2"/>
        <v>0.97166778678369858</v>
      </c>
      <c r="V77" s="74">
        <f>IF($T77&gt;$F$9,"",PRODUCT($U$21:$U77))</f>
        <v>0.20581263736994482</v>
      </c>
      <c r="W77" s="74"/>
    </row>
    <row r="78" spans="1:23">
      <c r="A78" s="89">
        <f t="shared" ca="1" si="3"/>
        <v>1</v>
      </c>
      <c r="B78" s="87">
        <v>57</v>
      </c>
      <c r="C78" s="23">
        <f t="shared" si="10"/>
        <v>57</v>
      </c>
      <c r="D78" s="24">
        <f t="shared" ca="1" si="8"/>
        <v>48045</v>
      </c>
      <c r="E78" s="25">
        <f ca="1">IFERROR(
         IF($C78&lt;=$F$9,IF((H77+G78)&gt;(Калькулятор!$W$21),ROUNDUP((Калькулятор!$W$21)*A78,2),(H77+G78)),""),
         "")</f>
        <v>1718.23</v>
      </c>
      <c r="F78" s="25">
        <f t="shared" ca="1" si="4"/>
        <v>1531.7485704131227</v>
      </c>
      <c r="G78" s="25">
        <f t="shared" ca="1" si="5"/>
        <v>186.4814295868774</v>
      </c>
      <c r="H78" s="25">
        <f t="shared" ca="1" si="6"/>
        <v>4863.8679008303188</v>
      </c>
      <c r="J78" s="85">
        <f t="shared" si="7"/>
        <v>0.34989999999999999</v>
      </c>
      <c r="T78" s="23">
        <f t="shared" si="9"/>
        <v>59</v>
      </c>
      <c r="U78" s="74">
        <f t="shared" si="2"/>
        <v>0.97166778678369858</v>
      </c>
      <c r="V78" s="74">
        <f>IF($T78&gt;$F$9,"",PRODUCT($U$21:$U78))</f>
        <v>0.19998150984537022</v>
      </c>
      <c r="W78" s="74"/>
    </row>
    <row r="79" spans="1:23">
      <c r="A79" s="89">
        <f t="shared" ca="1" si="3"/>
        <v>1</v>
      </c>
      <c r="B79" s="87">
        <v>58</v>
      </c>
      <c r="C79" s="23">
        <f t="shared" si="10"/>
        <v>58</v>
      </c>
      <c r="D79" s="24">
        <f t="shared" ca="1" si="8"/>
        <v>48076</v>
      </c>
      <c r="E79" s="25">
        <f ca="1">IFERROR(
         IF($C79&lt;=$F$9,IF((H78+G79)&gt;(Калькулятор!$W$21),ROUNDUP((Калькулятор!$W$21)*A79,2),(H78+G79)),""),
         "")</f>
        <v>1718.23</v>
      </c>
      <c r="F79" s="25">
        <f t="shared" ca="1" si="4"/>
        <v>1576.4108268918574</v>
      </c>
      <c r="G79" s="25">
        <f t="shared" ca="1" si="5"/>
        <v>141.81917310814265</v>
      </c>
      <c r="H79" s="25">
        <f t="shared" ca="1" si="6"/>
        <v>3287.4570739384612</v>
      </c>
      <c r="J79" s="85">
        <f t="shared" si="7"/>
        <v>0.34989999999999999</v>
      </c>
      <c r="T79" s="23">
        <f t="shared" si="9"/>
        <v>60</v>
      </c>
      <c r="U79" s="74">
        <f t="shared" si="2"/>
        <v>0.97166778678369858</v>
      </c>
      <c r="V79" s="74">
        <f>IF($T79&gt;$F$9,"",PRODUCT($U$21:$U79))</f>
        <v>0.19431559106911331</v>
      </c>
      <c r="W79" s="74"/>
    </row>
    <row r="80" spans="1:23">
      <c r="A80" s="89">
        <f t="shared" ca="1" si="3"/>
        <v>1</v>
      </c>
      <c r="B80" s="87">
        <v>59</v>
      </c>
      <c r="C80" s="23">
        <f t="shared" si="10"/>
        <v>59</v>
      </c>
      <c r="D80" s="24">
        <f t="shared" ca="1" si="8"/>
        <v>48107</v>
      </c>
      <c r="E80" s="25">
        <f ca="1">IFERROR(
         IF($C80&lt;=$F$9,IF((H79+G80)&gt;(Калькулятор!$W$21),ROUNDUP((Калькулятор!$W$21)*A80,2),(H79+G80)),""),
         "")</f>
        <v>1718.23</v>
      </c>
      <c r="F80" s="25">
        <f t="shared" ca="1" si="4"/>
        <v>1622.3753317893611</v>
      </c>
      <c r="G80" s="25">
        <f t="shared" ca="1" si="5"/>
        <v>95.854668210638891</v>
      </c>
      <c r="H80" s="25">
        <f t="shared" ca="1" si="6"/>
        <v>1665.0817421491001</v>
      </c>
      <c r="J80" s="85">
        <f t="shared" si="7"/>
        <v>0.34989999999999999</v>
      </c>
      <c r="T80" s="23">
        <f t="shared" si="9"/>
        <v>0</v>
      </c>
      <c r="U80" s="74">
        <f t="shared" si="2"/>
        <v>0.99999166673611051</v>
      </c>
      <c r="V80" s="74">
        <f>IF($T80&gt;$F$9,"",PRODUCT($U$21:$U80))</f>
        <v>0.19431397178601509</v>
      </c>
      <c r="W80" s="74"/>
    </row>
    <row r="81" spans="1:23">
      <c r="A81" s="89">
        <f t="shared" ca="1" si="3"/>
        <v>1</v>
      </c>
      <c r="B81" s="87">
        <v>60</v>
      </c>
      <c r="C81" s="23">
        <f t="shared" si="10"/>
        <v>60</v>
      </c>
      <c r="D81" s="24">
        <f t="shared" ca="1" si="8"/>
        <v>48137</v>
      </c>
      <c r="E81" s="25">
        <f ca="1">IFERROR(
         IF($C81&lt;=$F$9,IF((H80+G81)&gt;(Калькулятор!$W$21),ROUNDUP((Калькулятор!$W$21)*A81,2),(H80+G81)),""),
         "")</f>
        <v>1713.6316864822386</v>
      </c>
      <c r="F81" s="25">
        <f t="shared" ca="1" si="4"/>
        <v>1665.0817421491001</v>
      </c>
      <c r="G81" s="25">
        <f t="shared" ca="1" si="5"/>
        <v>48.549944333138463</v>
      </c>
      <c r="H81" s="25">
        <f t="shared" ca="1" si="6"/>
        <v>0</v>
      </c>
      <c r="J81" s="85">
        <f t="shared" si="7"/>
        <v>0.34989999999999999</v>
      </c>
      <c r="T81" s="23">
        <f t="shared" si="9"/>
        <v>0</v>
      </c>
      <c r="U81" s="74">
        <f t="shared" si="2"/>
        <v>0.99999166673611051</v>
      </c>
      <c r="V81" s="74">
        <f>IF($T81&gt;$F$9,"",PRODUCT($U$21:$U81))</f>
        <v>0.19431235251641077</v>
      </c>
      <c r="W81" s="74"/>
    </row>
    <row r="82" spans="1:23">
      <c r="A82" s="89"/>
      <c r="B82" s="87"/>
      <c r="C82" s="23"/>
      <c r="J82" s="85">
        <f t="shared" ref="J82:J102" si="11">IF(C82&lt;=$B$9,$F$11,$F$12)</f>
        <v>1E-4</v>
      </c>
      <c r="T82" s="23">
        <f t="shared" si="9"/>
        <v>0</v>
      </c>
      <c r="U82" s="74">
        <f t="shared" si="2"/>
        <v>0.99999166673611051</v>
      </c>
      <c r="V82" s="74">
        <f>IF($T82&gt;$F$9,"",PRODUCT($U$21:$U82))</f>
        <v>0.19431073326030027</v>
      </c>
      <c r="W82" s="74"/>
    </row>
    <row r="83" spans="1:23">
      <c r="A83" s="89"/>
      <c r="B83" s="87"/>
      <c r="C83" s="23"/>
      <c r="J83" s="85">
        <f t="shared" si="11"/>
        <v>1E-4</v>
      </c>
      <c r="T83" s="23">
        <f t="shared" si="9"/>
        <v>0</v>
      </c>
      <c r="U83" s="74">
        <f t="shared" si="2"/>
        <v>0.99999166673611051</v>
      </c>
      <c r="V83" s="74">
        <f>IF($T83&gt;$F$9,"",PRODUCT($U$21:$U83))</f>
        <v>0.19430911401768344</v>
      </c>
      <c r="W83" s="74"/>
    </row>
    <row r="84" spans="1:23">
      <c r="A84" s="89"/>
      <c r="B84" s="87"/>
      <c r="C84" s="23"/>
      <c r="J84" s="85">
        <f t="shared" si="11"/>
        <v>1E-4</v>
      </c>
      <c r="T84" s="23">
        <f t="shared" ref="T84:T103" si="12">IF($B86&lt;=$F$9,B86,"")</f>
        <v>0</v>
      </c>
      <c r="U84" s="74">
        <f t="shared" si="2"/>
        <v>0.99999166673611051</v>
      </c>
      <c r="V84" s="74">
        <f>IF($T84&gt;$F$9,"",PRODUCT($U$21:$U84))</f>
        <v>0.19430749478856019</v>
      </c>
      <c r="W84" s="74"/>
    </row>
    <row r="85" spans="1:23">
      <c r="A85" s="89"/>
      <c r="B85" s="87"/>
      <c r="C85" s="23"/>
      <c r="J85" s="85">
        <f t="shared" si="11"/>
        <v>1E-4</v>
      </c>
      <c r="T85" s="23">
        <f t="shared" si="12"/>
        <v>0</v>
      </c>
      <c r="U85" s="74">
        <f t="shared" si="2"/>
        <v>0.99999166673611051</v>
      </c>
      <c r="V85" s="74">
        <f>IF($T85&gt;$F$9,"",PRODUCT($U$21:$U85))</f>
        <v>0.19430587557293041</v>
      </c>
      <c r="W85" s="74"/>
    </row>
    <row r="86" spans="1:23">
      <c r="A86" s="89"/>
      <c r="B86" s="87"/>
      <c r="C86" s="23"/>
      <c r="J86" s="85">
        <f t="shared" si="11"/>
        <v>1E-4</v>
      </c>
      <c r="T86" s="23">
        <f t="shared" si="12"/>
        <v>0</v>
      </c>
      <c r="U86" s="74">
        <f t="shared" ref="U86:U103" si="13">IF(T86&gt;$F$9,"",1/(1+J88/12))</f>
        <v>0.99999166673611051</v>
      </c>
      <c r="V86" s="74">
        <f>IF($T86&gt;$F$9,"",PRODUCT($U$21:$U86))</f>
        <v>0.19430425637079399</v>
      </c>
      <c r="W86" s="74"/>
    </row>
    <row r="87" spans="1:23">
      <c r="A87" s="89"/>
      <c r="B87" s="87"/>
      <c r="C87" s="23"/>
      <c r="J87" s="85">
        <f t="shared" si="11"/>
        <v>1E-4</v>
      </c>
      <c r="T87" s="23">
        <f t="shared" si="12"/>
        <v>0</v>
      </c>
      <c r="U87" s="74">
        <f t="shared" si="13"/>
        <v>0.99999166673611051</v>
      </c>
      <c r="V87" s="74">
        <f>IF($T87&gt;$F$9,"",PRODUCT($U$21:$U87))</f>
        <v>0.19430263718215079</v>
      </c>
      <c r="W87" s="74"/>
    </row>
    <row r="88" spans="1:23">
      <c r="A88" s="89"/>
      <c r="B88" s="87"/>
      <c r="C88" s="23"/>
      <c r="J88" s="85">
        <f t="shared" si="11"/>
        <v>1E-4</v>
      </c>
      <c r="T88" s="23">
        <f t="shared" si="12"/>
        <v>0</v>
      </c>
      <c r="U88" s="74">
        <f t="shared" si="13"/>
        <v>0.99999166673611051</v>
      </c>
      <c r="V88" s="74">
        <f>IF($T88&gt;$F$9,"",PRODUCT($U$21:$U88))</f>
        <v>0.19430101800700073</v>
      </c>
      <c r="W88" s="74"/>
    </row>
    <row r="89" spans="1:23">
      <c r="A89" s="89"/>
      <c r="B89" s="87"/>
      <c r="C89" s="23"/>
      <c r="J89" s="85">
        <f t="shared" si="11"/>
        <v>1E-4</v>
      </c>
      <c r="T89" s="23">
        <f t="shared" si="12"/>
        <v>0</v>
      </c>
      <c r="U89" s="74">
        <f t="shared" si="13"/>
        <v>0.99999166673611051</v>
      </c>
      <c r="V89" s="74">
        <f>IF($T89&gt;$F$9,"",PRODUCT($U$21:$U89))</f>
        <v>0.19429939884534367</v>
      </c>
      <c r="W89" s="74"/>
    </row>
    <row r="90" spans="1:23">
      <c r="A90" s="89"/>
      <c r="B90" s="87"/>
      <c r="C90" s="23"/>
      <c r="J90" s="85">
        <f t="shared" si="11"/>
        <v>1E-4</v>
      </c>
      <c r="T90" s="23">
        <f t="shared" si="12"/>
        <v>0</v>
      </c>
      <c r="U90" s="74">
        <f t="shared" si="13"/>
        <v>0.99999166673611051</v>
      </c>
      <c r="V90" s="74">
        <f>IF($T90&gt;$F$9,"",PRODUCT($U$21:$U90))</f>
        <v>0.19429777969717951</v>
      </c>
      <c r="W90" s="74"/>
    </row>
    <row r="91" spans="1:23">
      <c r="A91" s="89"/>
      <c r="B91" s="87"/>
      <c r="C91" s="23"/>
      <c r="J91" s="85">
        <f t="shared" si="11"/>
        <v>1E-4</v>
      </c>
      <c r="T91" s="23">
        <f t="shared" si="12"/>
        <v>0</v>
      </c>
      <c r="U91" s="74">
        <f t="shared" si="13"/>
        <v>0.99999166673611051</v>
      </c>
      <c r="V91" s="74">
        <f>IF($T91&gt;$F$9,"",PRODUCT($U$21:$U91))</f>
        <v>0.19429616056250815</v>
      </c>
      <c r="W91" s="74"/>
    </row>
    <row r="92" spans="1:23">
      <c r="A92" s="89"/>
      <c r="B92" s="87"/>
      <c r="C92" s="23"/>
      <c r="J92" s="85">
        <f t="shared" si="11"/>
        <v>1E-4</v>
      </c>
      <c r="T92" s="23">
        <f t="shared" si="12"/>
        <v>0</v>
      </c>
      <c r="U92" s="74">
        <f t="shared" si="13"/>
        <v>0.99999166673611051</v>
      </c>
      <c r="V92" s="74">
        <f>IF($T92&gt;$F$9,"",PRODUCT($U$21:$U92))</f>
        <v>0.19429454144132946</v>
      </c>
      <c r="W92" s="74"/>
    </row>
    <row r="93" spans="1:23">
      <c r="A93" s="89"/>
      <c r="B93" s="87"/>
      <c r="C93" s="23"/>
      <c r="J93" s="85">
        <f t="shared" si="11"/>
        <v>1E-4</v>
      </c>
      <c r="T93" s="23">
        <f t="shared" si="12"/>
        <v>0</v>
      </c>
      <c r="U93" s="74">
        <f t="shared" si="13"/>
        <v>0.99999166673611051</v>
      </c>
      <c r="V93" s="74">
        <f>IF($T93&gt;$F$9,"",PRODUCT($U$21:$U93))</f>
        <v>0.19429292233364334</v>
      </c>
      <c r="W93" s="74"/>
    </row>
    <row r="94" spans="1:23">
      <c r="A94" s="89"/>
      <c r="B94" s="87"/>
      <c r="C94" s="23"/>
      <c r="J94" s="85">
        <f t="shared" si="11"/>
        <v>1E-4</v>
      </c>
      <c r="T94" s="23">
        <f t="shared" si="12"/>
        <v>0</v>
      </c>
      <c r="U94" s="74">
        <f t="shared" si="13"/>
        <v>0.99999166673611051</v>
      </c>
      <c r="V94" s="74">
        <f>IF($T94&gt;$F$9,"",PRODUCT($U$21:$U94))</f>
        <v>0.19429130323944968</v>
      </c>
      <c r="W94" s="74"/>
    </row>
    <row r="95" spans="1:23">
      <c r="A95" s="89"/>
      <c r="B95" s="87"/>
      <c r="C95" s="23"/>
      <c r="J95" s="85">
        <f t="shared" si="11"/>
        <v>1E-4</v>
      </c>
      <c r="T95" s="23">
        <f t="shared" si="12"/>
        <v>0</v>
      </c>
      <c r="U95" s="74">
        <f t="shared" si="13"/>
        <v>0.99999166673611051</v>
      </c>
      <c r="V95" s="74">
        <f>IF($T95&gt;$F$9,"",PRODUCT($U$21:$U95))</f>
        <v>0.19428968415874837</v>
      </c>
      <c r="W95" s="74"/>
    </row>
    <row r="96" spans="1:23">
      <c r="A96" s="89"/>
      <c r="B96" s="87"/>
      <c r="C96" s="23"/>
      <c r="J96" s="85">
        <f t="shared" si="11"/>
        <v>1E-4</v>
      </c>
      <c r="T96" s="23">
        <f t="shared" si="12"/>
        <v>0</v>
      </c>
      <c r="U96" s="74">
        <f t="shared" si="13"/>
        <v>0.99999166673611051</v>
      </c>
      <c r="V96" s="74">
        <f>IF($T96&gt;$F$9,"",PRODUCT($U$21:$U96))</f>
        <v>0.19428806509153926</v>
      </c>
      <c r="W96" s="74"/>
    </row>
    <row r="97" spans="1:23">
      <c r="A97" s="89"/>
      <c r="B97" s="87"/>
      <c r="C97" s="23"/>
      <c r="J97" s="85">
        <f t="shared" si="11"/>
        <v>1E-4</v>
      </c>
      <c r="T97" s="23">
        <f t="shared" si="12"/>
        <v>0</v>
      </c>
      <c r="U97" s="74">
        <f t="shared" si="13"/>
        <v>0.99999166673611051</v>
      </c>
      <c r="V97" s="74">
        <f>IF($T97&gt;$F$9,"",PRODUCT($U$21:$U97))</f>
        <v>0.19428644603782227</v>
      </c>
      <c r="W97" s="74"/>
    </row>
    <row r="98" spans="1:23">
      <c r="A98" s="89"/>
      <c r="B98" s="87"/>
      <c r="C98" s="23"/>
      <c r="J98" s="85">
        <f t="shared" si="11"/>
        <v>1E-4</v>
      </c>
      <c r="T98" s="23">
        <f t="shared" si="12"/>
        <v>0</v>
      </c>
      <c r="U98" s="74">
        <f t="shared" si="13"/>
        <v>0.99999166673611051</v>
      </c>
      <c r="V98" s="74">
        <f>IF($T98&gt;$F$9,"",PRODUCT($U$21:$U98))</f>
        <v>0.19428482699759728</v>
      </c>
      <c r="W98" s="74"/>
    </row>
    <row r="99" spans="1:23">
      <c r="A99" s="89"/>
      <c r="B99" s="87"/>
      <c r="C99" s="23"/>
      <c r="J99" s="85">
        <f t="shared" si="11"/>
        <v>1E-4</v>
      </c>
      <c r="T99" s="23">
        <f t="shared" si="12"/>
        <v>0</v>
      </c>
      <c r="U99" s="74">
        <f t="shared" si="13"/>
        <v>0.99999166673611051</v>
      </c>
      <c r="V99" s="74">
        <f>IF($T99&gt;$F$9,"",PRODUCT($U$21:$U99))</f>
        <v>0.19428320797086418</v>
      </c>
      <c r="W99" s="74"/>
    </row>
    <row r="100" spans="1:23">
      <c r="A100" s="89"/>
      <c r="B100" s="87"/>
      <c r="C100" s="23"/>
      <c r="J100" s="85">
        <f t="shared" si="11"/>
        <v>1E-4</v>
      </c>
      <c r="T100" s="23">
        <f t="shared" si="12"/>
        <v>0</v>
      </c>
      <c r="U100" s="74">
        <f t="shared" si="13"/>
        <v>0.99999166673611051</v>
      </c>
      <c r="V100" s="74">
        <f>IF($T100&gt;$F$9,"",PRODUCT($U$21:$U100))</f>
        <v>0.19428158895762287</v>
      </c>
      <c r="W100" s="74"/>
    </row>
    <row r="101" spans="1:23">
      <c r="A101" s="89"/>
      <c r="B101" s="87"/>
      <c r="C101" s="23"/>
      <c r="J101" s="85">
        <f t="shared" si="11"/>
        <v>1E-4</v>
      </c>
      <c r="T101" s="23">
        <f t="shared" si="12"/>
        <v>0</v>
      </c>
      <c r="U101" s="74">
        <f t="shared" si="13"/>
        <v>0.99999166673611051</v>
      </c>
      <c r="V101" s="74">
        <f>IF($T101&gt;$F$9,"",PRODUCT($U$21:$U101))</f>
        <v>0.19427996995787322</v>
      </c>
      <c r="W101" s="74"/>
    </row>
    <row r="102" spans="1:23">
      <c r="A102" s="89"/>
      <c r="B102" s="87"/>
      <c r="C102" s="23"/>
      <c r="J102" s="85">
        <f t="shared" si="11"/>
        <v>1E-4</v>
      </c>
      <c r="T102" s="23">
        <f t="shared" si="12"/>
        <v>0</v>
      </c>
      <c r="U102" s="74">
        <f t="shared" si="13"/>
        <v>0.99999166673611051</v>
      </c>
      <c r="V102" s="74">
        <f>IF($T102&gt;$F$9,"",PRODUCT($U$21:$U102))</f>
        <v>0.19427835097161511</v>
      </c>
      <c r="W102" s="74"/>
    </row>
    <row r="103" spans="1:23">
      <c r="A103" s="89"/>
      <c r="B103" s="87"/>
      <c r="C103" s="23"/>
      <c r="J103" s="85">
        <f t="shared" ref="J103:J105" si="14">IF(C103&lt;=$B$9,$F$11,$F$12)</f>
        <v>1E-4</v>
      </c>
      <c r="T103" s="23">
        <f t="shared" si="12"/>
        <v>0</v>
      </c>
      <c r="U103" s="74">
        <f t="shared" si="13"/>
        <v>0.99999166673611051</v>
      </c>
      <c r="V103" s="74">
        <f>IF($T103&gt;$F$9,"",PRODUCT($U$21:$U103))</f>
        <v>0.19427673199884846</v>
      </c>
      <c r="W103" s="74"/>
    </row>
    <row r="104" spans="1:23">
      <c r="A104" s="89"/>
      <c r="B104" s="87"/>
      <c r="C104" s="23"/>
      <c r="J104" s="85">
        <f t="shared" si="14"/>
        <v>1E-4</v>
      </c>
    </row>
    <row r="105" spans="1:23">
      <c r="A105" s="89"/>
      <c r="B105" s="87"/>
      <c r="C105" s="23"/>
      <c r="J105" s="85">
        <f t="shared" si="14"/>
        <v>1E-4</v>
      </c>
    </row>
  </sheetData>
  <sheetProtection algorithmName="SHA-512" hashValue="DxhBfeRvi3l3gPGdzO7UE2wHbBqKDGqOXt69lB/Ps4wwxryVZPPf67k5owOK7TCCcOotzou3unXoIgdHIX83VQ==" saltValue="LODMcbpNGZCSaKHvuhCjRw==" spinCount="100000" sheet="1" selectLockedCells="1"/>
  <protectedRanges>
    <protectedRange sqref="F8:F10" name="Диапазон1_2"/>
    <protectedRange sqref="K7" name="Диапазон5"/>
  </protectedRanges>
  <mergeCells count="24">
    <mergeCell ref="C16:E16"/>
    <mergeCell ref="C17:E17"/>
    <mergeCell ref="C18:E18"/>
    <mergeCell ref="C19:E19"/>
    <mergeCell ref="R5:R6"/>
    <mergeCell ref="C11:E11"/>
    <mergeCell ref="C15:E15"/>
    <mergeCell ref="C13:E13"/>
    <mergeCell ref="C14:E14"/>
    <mergeCell ref="C10:E10"/>
    <mergeCell ref="C12:E12"/>
    <mergeCell ref="S5:S6"/>
    <mergeCell ref="L5:L6"/>
    <mergeCell ref="P5:P6"/>
    <mergeCell ref="C5:G6"/>
    <mergeCell ref="N5:N6"/>
    <mergeCell ref="O5:O6"/>
    <mergeCell ref="F1:H3"/>
    <mergeCell ref="Q5:Q6"/>
    <mergeCell ref="C7:E7"/>
    <mergeCell ref="C8:E8"/>
    <mergeCell ref="C9:E9"/>
    <mergeCell ref="M5:M6"/>
    <mergeCell ref="F7:G7"/>
  </mergeCells>
  <phoneticPr fontId="3" type="noConversion"/>
  <conditionalFormatting sqref="C22:H105">
    <cfRule type="notContainsBlanks" dxfId="2" priority="5">
      <formula>LEN(TRIM(C22))&gt;0</formula>
    </cfRule>
  </conditionalFormatting>
  <conditionalFormatting sqref="T20:T103">
    <cfRule type="notContainsBlanks" dxfId="0" priority="1">
      <formula>LEN(TRIM(T20))&gt;0</formula>
    </cfRule>
  </conditionalFormatting>
  <dataValidations count="1">
    <dataValidation type="list" allowBlank="1" showInputMessage="1" showErrorMessage="1" sqref="F7:G7" xr:uid="{00000000-0002-0000-0000-000000000000}">
      <formula1>Список_продуктов</formula1>
    </dataValidation>
  </dataValidations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1" operator="containsText" id="{8BBC5B70-DD96-49C0-A930-88B53A4BC1CD}">
            <xm:f>NOT(ISERROR(SEARCH(#REF!,F1)))</xm:f>
            <xm:f>#REF!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F1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whole" showInputMessage="1" showErrorMessage="1" errorTitle="Ошибка" error="Некоректний термін кредиту" xr:uid="{00000000-0002-0000-0000-000001000000}">
          <x14:formula1>
            <xm:f>Продукти!L11</xm:f>
          </x14:formula1>
          <x14:formula2>
            <xm:f>Продукти!M11</xm:f>
          </x14:formula2>
          <xm:sqref>F9</xm:sqref>
        </x14:dataValidation>
        <x14:dataValidation type="decimal" allowBlank="1" showInputMessage="1" showErrorMessage="1" errorTitle="Ошибка" error="Некоректна сума кредиту згідно умов Банку" xr:uid="{00000000-0002-0000-0000-000002000000}">
          <x14:formula1>
            <xm:f>Продукти!I11</xm:f>
          </x14:formula1>
          <x14:formula2>
            <xm:f>Продукти!J11/(1+Продукти!H11)</xm:f>
          </x14:formula2>
          <xm:sqref>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tabColor rgb="FFFD370F"/>
    <pageSetUpPr fitToPage="1"/>
  </sheetPr>
  <dimension ref="A1:Z39"/>
  <sheetViews>
    <sheetView zoomScale="85" zoomScaleNormal="85" workbookViewId="0">
      <pane xSplit="2" topLeftCell="C1" activePane="topRight" state="frozen"/>
      <selection pane="topRight" activeCell="N19" sqref="N19"/>
    </sheetView>
  </sheetViews>
  <sheetFormatPr defaultColWidth="9.140625" defaultRowHeight="12.75"/>
  <cols>
    <col min="1" max="1" width="3.85546875" style="7" customWidth="1"/>
    <col min="2" max="2" width="41.140625" style="7" bestFit="1" customWidth="1"/>
    <col min="3" max="3" width="9.5703125" style="7" customWidth="1"/>
    <col min="4" max="5" width="9.85546875" style="7" customWidth="1"/>
    <col min="6" max="6" width="9.140625" style="7" customWidth="1"/>
    <col min="7" max="7" width="9.7109375" style="7" customWidth="1"/>
    <col min="8" max="8" width="9.140625" style="7" customWidth="1"/>
    <col min="9" max="9" width="12.7109375" style="7" customWidth="1"/>
    <col min="10" max="10" width="13.28515625" style="7" customWidth="1"/>
    <col min="11" max="11" width="18.140625" style="11" customWidth="1"/>
    <col min="12" max="12" width="8.42578125" style="7" customWidth="1"/>
    <col min="13" max="13" width="9.140625" style="7" customWidth="1"/>
    <col min="14" max="14" width="12.85546875" style="7" customWidth="1"/>
    <col min="15" max="17" width="9.140625" style="7" hidden="1" customWidth="1"/>
    <col min="18" max="18" width="61.42578125" style="7" hidden="1" customWidth="1"/>
    <col min="19" max="19" width="10.42578125" style="7" hidden="1" customWidth="1"/>
    <col min="20" max="20" width="15.7109375" style="7" hidden="1" customWidth="1"/>
    <col min="21" max="21" width="0" style="8" hidden="1" customWidth="1"/>
    <col min="22" max="22" width="0" style="7" hidden="1" customWidth="1"/>
    <col min="23" max="23" width="10" style="7" hidden="1" customWidth="1"/>
    <col min="24" max="26" width="0" style="7" hidden="1" customWidth="1"/>
    <col min="27" max="16384" width="9.140625" style="7"/>
  </cols>
  <sheetData>
    <row r="1" spans="1:26" s="9" customFormat="1" ht="39" thickBot="1">
      <c r="A1" s="52" t="s">
        <v>17</v>
      </c>
      <c r="B1" s="53" t="s">
        <v>18</v>
      </c>
      <c r="C1" s="53" t="s">
        <v>19</v>
      </c>
      <c r="D1" s="54" t="s">
        <v>20</v>
      </c>
      <c r="E1" s="55" t="s">
        <v>21</v>
      </c>
      <c r="F1" s="55" t="s">
        <v>22</v>
      </c>
      <c r="G1" s="55" t="s">
        <v>23</v>
      </c>
      <c r="H1" s="56" t="s">
        <v>24</v>
      </c>
      <c r="I1" s="57" t="s">
        <v>25</v>
      </c>
      <c r="J1" s="53" t="s">
        <v>26</v>
      </c>
      <c r="K1" s="58" t="s">
        <v>27</v>
      </c>
      <c r="L1" s="57" t="s">
        <v>28</v>
      </c>
      <c r="M1" s="53" t="s">
        <v>29</v>
      </c>
      <c r="N1" s="59" t="s">
        <v>30</v>
      </c>
      <c r="O1" s="60" t="s">
        <v>2</v>
      </c>
      <c r="P1" s="61" t="s">
        <v>31</v>
      </c>
      <c r="Q1" s="62" t="s">
        <v>32</v>
      </c>
      <c r="R1" s="63" t="s">
        <v>33</v>
      </c>
      <c r="S1" s="64" t="s">
        <v>34</v>
      </c>
      <c r="T1" s="65" t="s">
        <v>35</v>
      </c>
      <c r="U1" s="66" t="s">
        <v>36</v>
      </c>
      <c r="V1" s="67" t="s">
        <v>37</v>
      </c>
      <c r="W1" s="68">
        <f>Maxamount</f>
        <v>52630</v>
      </c>
      <c r="X1" s="9" t="s">
        <v>62</v>
      </c>
      <c r="Y1" s="9" t="s">
        <v>63</v>
      </c>
      <c r="Z1" s="9" t="s">
        <v>64</v>
      </c>
    </row>
    <row r="2" spans="1:26" ht="13.5" thickTop="1">
      <c r="A2" s="34">
        <v>1</v>
      </c>
      <c r="B2" s="75" t="s">
        <v>53</v>
      </c>
      <c r="C2" s="35">
        <v>0</v>
      </c>
      <c r="D2" s="36">
        <v>0</v>
      </c>
      <c r="E2" s="37">
        <v>0</v>
      </c>
      <c r="F2" s="38">
        <v>0.34989999999999999</v>
      </c>
      <c r="G2" s="38">
        <v>0</v>
      </c>
      <c r="H2" s="39">
        <v>0</v>
      </c>
      <c r="I2" s="40">
        <v>20000</v>
      </c>
      <c r="J2" s="41">
        <v>300000</v>
      </c>
      <c r="K2" s="42" t="str">
        <f t="shared" ref="K2:K10" si="0">I2&amp;" "&amp;"-"&amp;" "&amp;J2</f>
        <v>20000 - 300000</v>
      </c>
      <c r="L2" s="43">
        <v>12</v>
      </c>
      <c r="M2" s="44">
        <v>60</v>
      </c>
      <c r="N2" s="45" t="str">
        <f t="shared" ref="N2:N10" si="1">L2&amp;" "&amp;"-"&amp;" "&amp;M2</f>
        <v>12 - 60</v>
      </c>
      <c r="O2" s="46">
        <v>0</v>
      </c>
      <c r="P2" s="47">
        <v>23</v>
      </c>
      <c r="Q2" s="44">
        <v>69</v>
      </c>
      <c r="R2" s="48" t="str">
        <f t="shared" ref="R2" si="2">"вік "&amp;P2&amp;" - "&amp;Q2&amp;" (Для з/п клієнтів з 23 років, для інших - з 25)"</f>
        <v>вік 23 - 69 (Для з/п клієнтів з 23 років, для інших - з 25)</v>
      </c>
      <c r="S2" s="43" t="str">
        <f t="shared" ref="S2" si="3">"6 міс. (для ФОП 24 міс)"</f>
        <v>6 міс. (для ФОП 24 міс)</v>
      </c>
      <c r="T2" s="44">
        <f>IF(Maxamount&lt;=50000,6500,8000)</f>
        <v>8000</v>
      </c>
      <c r="U2" s="49" t="s">
        <v>38</v>
      </c>
      <c r="V2" s="50" t="s">
        <v>16</v>
      </c>
      <c r="Y2" s="112">
        <v>0.40899999999999997</v>
      </c>
      <c r="Z2" s="112">
        <v>0.41560000000000002</v>
      </c>
    </row>
    <row r="3" spans="1:26">
      <c r="A3" s="34">
        <v>2</v>
      </c>
      <c r="B3" s="75" t="s">
        <v>52</v>
      </c>
      <c r="C3" s="35">
        <v>0</v>
      </c>
      <c r="D3" s="36">
        <v>0</v>
      </c>
      <c r="E3" s="37">
        <v>0</v>
      </c>
      <c r="F3" s="38">
        <v>0.19989999999999999</v>
      </c>
      <c r="G3" s="38">
        <v>0</v>
      </c>
      <c r="H3" s="39">
        <v>9.9000000000000008E-3</v>
      </c>
      <c r="I3" s="40">
        <v>50000</v>
      </c>
      <c r="J3" s="41">
        <v>1250000</v>
      </c>
      <c r="K3" s="42" t="str">
        <f t="shared" si="0"/>
        <v>50000 - 1250000</v>
      </c>
      <c r="L3" s="43">
        <v>12</v>
      </c>
      <c r="M3" s="44">
        <v>60</v>
      </c>
      <c r="N3" s="45" t="str">
        <f t="shared" si="1"/>
        <v>12 - 60</v>
      </c>
      <c r="O3" s="97"/>
      <c r="P3" s="96"/>
      <c r="Q3" s="96"/>
      <c r="R3" s="98"/>
      <c r="S3" s="96"/>
      <c r="T3" s="96"/>
      <c r="U3" s="99"/>
      <c r="V3" s="100"/>
      <c r="Y3" s="112">
        <v>0.22439999999999999</v>
      </c>
      <c r="Z3" s="112">
        <v>0.24440000000000001</v>
      </c>
    </row>
    <row r="4" spans="1:26">
      <c r="A4" s="34">
        <v>3</v>
      </c>
      <c r="B4" s="75" t="s">
        <v>54</v>
      </c>
      <c r="C4" s="35">
        <v>2</v>
      </c>
      <c r="D4" s="36">
        <v>0</v>
      </c>
      <c r="E4" s="37">
        <v>1E-4</v>
      </c>
      <c r="F4" s="38">
        <v>0.34989999999999999</v>
      </c>
      <c r="G4" s="38">
        <v>0</v>
      </c>
      <c r="H4" s="39">
        <v>2.9899999999999999E-2</v>
      </c>
      <c r="I4" s="40">
        <v>20000</v>
      </c>
      <c r="J4" s="41">
        <v>300000</v>
      </c>
      <c r="K4" s="42" t="str">
        <f t="shared" si="0"/>
        <v>20000 - 300000</v>
      </c>
      <c r="L4" s="43">
        <v>24</v>
      </c>
      <c r="M4" s="44">
        <v>60</v>
      </c>
      <c r="N4" s="45" t="str">
        <f t="shared" si="1"/>
        <v>24 - 60</v>
      </c>
      <c r="O4" s="97"/>
      <c r="P4" s="96"/>
      <c r="Q4" s="96"/>
      <c r="R4" s="98"/>
      <c r="S4" s="96"/>
      <c r="T4" s="96"/>
      <c r="U4" s="99"/>
      <c r="V4" s="100"/>
      <c r="Y4" s="112">
        <v>0.37059999999999998</v>
      </c>
      <c r="Z4" s="112">
        <v>0.3921</v>
      </c>
    </row>
    <row r="5" spans="1:26">
      <c r="A5" s="34">
        <v>4</v>
      </c>
      <c r="B5" s="75" t="s">
        <v>55</v>
      </c>
      <c r="C5" s="35">
        <v>3</v>
      </c>
      <c r="D5" s="36">
        <v>0</v>
      </c>
      <c r="E5" s="37">
        <v>1E-4</v>
      </c>
      <c r="F5" s="38">
        <v>0.34989999999999999</v>
      </c>
      <c r="G5" s="38">
        <v>0</v>
      </c>
      <c r="H5" s="39">
        <v>5.2600000000000001E-2</v>
      </c>
      <c r="I5" s="40">
        <v>20000</v>
      </c>
      <c r="J5" s="41">
        <v>300000</v>
      </c>
      <c r="K5" s="42" t="str">
        <f t="shared" si="0"/>
        <v>20000 - 300000</v>
      </c>
      <c r="L5" s="43">
        <v>60</v>
      </c>
      <c r="M5" s="44">
        <v>60</v>
      </c>
      <c r="N5" s="45" t="str">
        <f t="shared" si="1"/>
        <v>60 - 60</v>
      </c>
      <c r="O5" s="97"/>
      <c r="P5" s="96"/>
      <c r="Q5" s="96"/>
      <c r="R5" s="98"/>
      <c r="S5" s="96"/>
      <c r="T5" s="96"/>
      <c r="U5" s="99"/>
      <c r="V5" s="100"/>
      <c r="Y5" s="112">
        <v>0.38675841689109802</v>
      </c>
      <c r="Z5" s="112">
        <v>0.3883902966976166</v>
      </c>
    </row>
    <row r="6" spans="1:26">
      <c r="A6" s="34">
        <v>5</v>
      </c>
      <c r="B6" s="75" t="s">
        <v>56</v>
      </c>
      <c r="C6" s="35">
        <v>5</v>
      </c>
      <c r="D6" s="36">
        <v>0</v>
      </c>
      <c r="E6" s="37">
        <v>1E-4</v>
      </c>
      <c r="F6" s="38">
        <v>0.34989999999999999</v>
      </c>
      <c r="G6" s="38">
        <v>0</v>
      </c>
      <c r="H6" s="39">
        <v>8.6999999999999994E-2</v>
      </c>
      <c r="I6" s="40">
        <v>20000</v>
      </c>
      <c r="J6" s="41">
        <v>300000</v>
      </c>
      <c r="K6" s="42" t="str">
        <f t="shared" si="0"/>
        <v>20000 - 300000</v>
      </c>
      <c r="L6" s="43">
        <v>60</v>
      </c>
      <c r="M6" s="44">
        <v>60</v>
      </c>
      <c r="N6" s="45" t="str">
        <f t="shared" si="1"/>
        <v>60 - 60</v>
      </c>
      <c r="O6" s="97"/>
      <c r="P6" s="96"/>
      <c r="Q6" s="96"/>
      <c r="R6" s="98"/>
      <c r="S6" s="96"/>
      <c r="T6" s="96"/>
      <c r="U6" s="99"/>
      <c r="V6" s="100"/>
      <c r="Y6" s="112">
        <v>0.3533518493175507</v>
      </c>
      <c r="Z6" s="112">
        <v>0.36542459130287175</v>
      </c>
    </row>
    <row r="7" spans="1:26">
      <c r="A7" s="34">
        <v>6</v>
      </c>
      <c r="B7" s="75" t="s">
        <v>57</v>
      </c>
      <c r="C7" s="35">
        <v>6</v>
      </c>
      <c r="D7" s="36">
        <v>0</v>
      </c>
      <c r="E7" s="37">
        <v>1E-4</v>
      </c>
      <c r="F7" s="38">
        <v>0.34989999999999999</v>
      </c>
      <c r="G7" s="38">
        <v>0</v>
      </c>
      <c r="H7" s="39">
        <v>0.1111</v>
      </c>
      <c r="I7" s="40">
        <v>20000</v>
      </c>
      <c r="J7" s="41">
        <v>300000</v>
      </c>
      <c r="K7" s="42" t="str">
        <f t="shared" si="0"/>
        <v>20000 - 300000</v>
      </c>
      <c r="L7" s="43">
        <v>60</v>
      </c>
      <c r="M7" s="44">
        <v>60</v>
      </c>
      <c r="N7" s="45" t="str">
        <f t="shared" si="1"/>
        <v>60 - 60</v>
      </c>
      <c r="O7" s="97"/>
      <c r="P7" s="96"/>
      <c r="Q7" s="96"/>
      <c r="R7" s="98"/>
      <c r="S7" s="96"/>
      <c r="T7" s="96"/>
      <c r="U7" s="99"/>
      <c r="V7" s="100"/>
      <c r="Y7" s="112">
        <v>0.37131350636482241</v>
      </c>
      <c r="Z7" s="112">
        <v>0.37285442948341374</v>
      </c>
    </row>
    <row r="8" spans="1:26">
      <c r="A8" s="34">
        <v>7</v>
      </c>
      <c r="B8" s="75" t="s">
        <v>58</v>
      </c>
      <c r="C8" s="35">
        <v>9</v>
      </c>
      <c r="D8" s="36">
        <v>0</v>
      </c>
      <c r="E8" s="37">
        <v>1E-4</v>
      </c>
      <c r="F8" s="38">
        <v>0.34989999999999999</v>
      </c>
      <c r="G8" s="38">
        <v>0</v>
      </c>
      <c r="H8" s="39">
        <v>0.17649999999999999</v>
      </c>
      <c r="I8" s="40">
        <v>20000</v>
      </c>
      <c r="J8" s="41">
        <v>300000</v>
      </c>
      <c r="K8" s="42" t="str">
        <f t="shared" si="0"/>
        <v>20000 - 300000</v>
      </c>
      <c r="L8" s="43">
        <v>60</v>
      </c>
      <c r="M8" s="44">
        <v>60</v>
      </c>
      <c r="N8" s="45" t="str">
        <f t="shared" si="1"/>
        <v>60 - 60</v>
      </c>
      <c r="O8" s="97"/>
      <c r="P8" s="96"/>
      <c r="Q8" s="96"/>
      <c r="R8" s="98"/>
      <c r="S8" s="96"/>
      <c r="T8" s="96"/>
      <c r="U8" s="99"/>
      <c r="V8" s="100"/>
      <c r="Y8" s="112">
        <v>0.36319541335105909</v>
      </c>
      <c r="Z8" s="112">
        <v>0.36468945145607001</v>
      </c>
    </row>
    <row r="9" spans="1:26">
      <c r="A9" s="34">
        <v>8</v>
      </c>
      <c r="B9" s="75" t="s">
        <v>59</v>
      </c>
      <c r="C9" s="35">
        <v>10</v>
      </c>
      <c r="D9" s="36">
        <v>0</v>
      </c>
      <c r="E9" s="37">
        <v>1E-4</v>
      </c>
      <c r="F9" s="38">
        <v>0.34989999999999999</v>
      </c>
      <c r="G9" s="38">
        <v>0</v>
      </c>
      <c r="H9" s="39">
        <v>0.25</v>
      </c>
      <c r="I9" s="40">
        <v>20000</v>
      </c>
      <c r="J9" s="41">
        <v>300000</v>
      </c>
      <c r="K9" s="42" t="str">
        <f t="shared" si="0"/>
        <v>20000 - 300000</v>
      </c>
      <c r="L9" s="43">
        <v>60</v>
      </c>
      <c r="M9" s="44">
        <v>60</v>
      </c>
      <c r="N9" s="45" t="str">
        <f t="shared" si="1"/>
        <v>60 - 60</v>
      </c>
      <c r="O9" s="97"/>
      <c r="P9" s="96"/>
      <c r="Q9" s="96"/>
      <c r="R9" s="98"/>
      <c r="S9" s="96"/>
      <c r="T9" s="96"/>
      <c r="U9" s="99"/>
      <c r="V9" s="100"/>
      <c r="Y9" s="112">
        <v>0.39144794344902045</v>
      </c>
      <c r="Z9" s="112">
        <v>0.39310789704322824</v>
      </c>
    </row>
    <row r="10" spans="1:26" ht="13.5" thickBot="1">
      <c r="A10" s="34">
        <v>9</v>
      </c>
      <c r="B10" s="75" t="s">
        <v>60</v>
      </c>
      <c r="C10" s="35">
        <v>12</v>
      </c>
      <c r="D10" s="36">
        <v>0</v>
      </c>
      <c r="E10" s="37">
        <v>1E-4</v>
      </c>
      <c r="F10" s="38">
        <v>0.34989999999999999</v>
      </c>
      <c r="G10" s="38">
        <v>0</v>
      </c>
      <c r="H10" s="39">
        <v>0.33329999999999999</v>
      </c>
      <c r="I10" s="40">
        <v>20000</v>
      </c>
      <c r="J10" s="41">
        <v>300000</v>
      </c>
      <c r="K10" s="42" t="str">
        <f t="shared" si="0"/>
        <v>20000 - 300000</v>
      </c>
      <c r="L10" s="43">
        <v>60</v>
      </c>
      <c r="M10" s="44">
        <v>60</v>
      </c>
      <c r="N10" s="45" t="str">
        <f t="shared" si="1"/>
        <v>60 - 60</v>
      </c>
      <c r="O10" s="97"/>
      <c r="P10" s="96"/>
      <c r="Q10" s="96"/>
      <c r="R10" s="98"/>
      <c r="S10" s="96"/>
      <c r="T10" s="96"/>
      <c r="U10" s="99"/>
      <c r="V10" s="100"/>
      <c r="Y10" s="112">
        <v>0.40890902876853941</v>
      </c>
      <c r="Z10" s="112">
        <v>0.41067542433738724</v>
      </c>
    </row>
    <row r="11" spans="1:26" s="8" customFormat="1" ht="13.5" thickTop="1">
      <c r="A11" s="51"/>
      <c r="B11" s="70" t="str">
        <f>Калькулятор!F7</f>
        <v>Beauty 3M</v>
      </c>
      <c r="C11" s="51">
        <f t="shared" ref="C11:N11" si="4">VLOOKUP($B$11,$B$2:$V$10,COLUMN()-1,0)</f>
        <v>3</v>
      </c>
      <c r="D11" s="71">
        <f t="shared" si="4"/>
        <v>0</v>
      </c>
      <c r="E11" s="69">
        <f t="shared" si="4"/>
        <v>1E-4</v>
      </c>
      <c r="F11" s="71">
        <f t="shared" si="4"/>
        <v>0.34989999999999999</v>
      </c>
      <c r="G11" s="71">
        <f t="shared" si="4"/>
        <v>0</v>
      </c>
      <c r="H11" s="71">
        <f t="shared" si="4"/>
        <v>5.2600000000000001E-2</v>
      </c>
      <c r="I11" s="72">
        <f t="shared" si="4"/>
        <v>20000</v>
      </c>
      <c r="J11" s="72">
        <f t="shared" si="4"/>
        <v>300000</v>
      </c>
      <c r="K11" s="72" t="str">
        <f t="shared" si="4"/>
        <v>20000 - 300000</v>
      </c>
      <c r="L11" s="51">
        <f t="shared" si="4"/>
        <v>60</v>
      </c>
      <c r="M11" s="51">
        <f t="shared" si="4"/>
        <v>60</v>
      </c>
      <c r="N11" s="51" t="str">
        <f t="shared" si="4"/>
        <v>60 - 60</v>
      </c>
      <c r="O11" s="51"/>
      <c r="P11" s="51" t="e">
        <f t="shared" ref="P11:V11" si="5">VLOOKUP($B$11,$B$2:$V$2,COLUMN()-1,0)</f>
        <v>#N/A</v>
      </c>
      <c r="Q11" s="51" t="e">
        <f t="shared" si="5"/>
        <v>#N/A</v>
      </c>
      <c r="R11" s="51" t="e">
        <f t="shared" si="5"/>
        <v>#N/A</v>
      </c>
      <c r="S11" s="51" t="e">
        <f t="shared" si="5"/>
        <v>#N/A</v>
      </c>
      <c r="T11" s="51" t="e">
        <f t="shared" si="5"/>
        <v>#N/A</v>
      </c>
      <c r="U11" s="51" t="e">
        <f t="shared" si="5"/>
        <v>#N/A</v>
      </c>
      <c r="V11" s="51" t="e">
        <f t="shared" si="5"/>
        <v>#N/A</v>
      </c>
    </row>
    <row r="12" spans="1:26" s="8" customFormat="1">
      <c r="A12"/>
      <c r="B12"/>
      <c r="C12"/>
      <c r="D12"/>
      <c r="K12" s="10"/>
    </row>
    <row r="13" spans="1:26" s="8" customFormat="1">
      <c r="A13"/>
      <c r="B13"/>
      <c r="C13"/>
      <c r="D13"/>
      <c r="K13" s="10"/>
    </row>
    <row r="14" spans="1:26" s="8" customFormat="1">
      <c r="A14"/>
      <c r="B14"/>
      <c r="C14"/>
      <c r="D14"/>
      <c r="K14" s="10"/>
    </row>
    <row r="15" spans="1:26" s="8" customFormat="1">
      <c r="A15"/>
      <c r="B15"/>
      <c r="C15"/>
      <c r="D15"/>
      <c r="K15" s="10"/>
    </row>
    <row r="16" spans="1:26" s="8" customFormat="1">
      <c r="A16"/>
      <c r="B16"/>
      <c r="C16"/>
      <c r="D16"/>
      <c r="K16" s="10"/>
    </row>
    <row r="17" spans="1:11" s="8" customFormat="1">
      <c r="A17"/>
      <c r="B17"/>
      <c r="C17"/>
      <c r="D17"/>
      <c r="K17" s="10"/>
    </row>
    <row r="18" spans="1:11" s="8" customFormat="1">
      <c r="A18"/>
      <c r="B18"/>
      <c r="C18"/>
      <c r="D18"/>
      <c r="K18" s="10"/>
    </row>
    <row r="19" spans="1:11" s="8" customFormat="1">
      <c r="A19" s="92"/>
      <c r="B19" s="95"/>
      <c r="C19" s="91"/>
      <c r="D19" s="93"/>
      <c r="E19" s="93"/>
      <c r="F19" s="93"/>
      <c r="G19" s="93"/>
      <c r="H19" s="93"/>
      <c r="K19" s="10"/>
    </row>
    <row r="20" spans="1:11" s="8" customFormat="1" ht="15">
      <c r="A20" s="92"/>
      <c r="B20" s="94"/>
      <c r="C20" s="91"/>
      <c r="D20" s="93"/>
      <c r="E20" s="93"/>
      <c r="F20" s="93"/>
      <c r="G20" s="93"/>
      <c r="H20" s="93"/>
      <c r="K20" s="10"/>
    </row>
    <row r="21" spans="1:11" s="8" customFormat="1">
      <c r="A21" s="92"/>
      <c r="B21" s="92"/>
      <c r="C21" s="91"/>
      <c r="D21" s="93"/>
      <c r="E21" s="93"/>
      <c r="F21" s="93"/>
      <c r="G21" s="93"/>
      <c r="H21" s="93"/>
      <c r="K21" s="10"/>
    </row>
    <row r="22" spans="1:11" s="8" customFormat="1">
      <c r="A22" s="92"/>
      <c r="B22" s="92"/>
      <c r="C22" s="91"/>
      <c r="D22" s="93"/>
      <c r="E22" s="93"/>
      <c r="F22" s="93"/>
      <c r="G22" s="93"/>
      <c r="H22" s="93"/>
      <c r="K22" s="10"/>
    </row>
    <row r="23" spans="1:11" s="8" customFormat="1">
      <c r="A23" s="92"/>
      <c r="B23" s="92"/>
      <c r="C23" s="91"/>
      <c r="D23" s="93"/>
      <c r="E23" s="93"/>
      <c r="F23" s="93"/>
      <c r="G23" s="93"/>
      <c r="H23" s="93"/>
      <c r="K23" s="10"/>
    </row>
    <row r="24" spans="1:11" s="8" customFormat="1">
      <c r="A24" s="92"/>
      <c r="B24" s="92"/>
      <c r="C24" s="91"/>
      <c r="D24" s="93"/>
      <c r="E24" s="93"/>
      <c r="F24" s="93"/>
      <c r="G24" s="93"/>
      <c r="H24" s="93"/>
      <c r="K24" s="10"/>
    </row>
    <row r="25" spans="1:11" s="8" customFormat="1">
      <c r="A25" s="92"/>
      <c r="B25" s="92"/>
      <c r="C25" s="91"/>
      <c r="D25" s="93"/>
      <c r="E25" s="93"/>
      <c r="F25" s="93"/>
      <c r="G25" s="93"/>
      <c r="H25" s="93"/>
      <c r="K25" s="10"/>
    </row>
    <row r="26" spans="1:11" s="8" customFormat="1">
      <c r="A26" s="92"/>
      <c r="B26" s="92"/>
      <c r="C26" s="91"/>
      <c r="D26" s="93"/>
      <c r="E26" s="93"/>
      <c r="F26" s="93"/>
      <c r="G26" s="93"/>
      <c r="H26" s="93"/>
      <c r="K26" s="10"/>
    </row>
    <row r="27" spans="1:11" s="8" customFormat="1">
      <c r="A27" s="92"/>
      <c r="B27" s="92"/>
      <c r="C27" s="91"/>
      <c r="D27" s="93"/>
      <c r="E27" s="93"/>
      <c r="F27" s="93"/>
      <c r="G27" s="93"/>
      <c r="H27" s="93"/>
      <c r="K27" s="10"/>
    </row>
    <row r="28" spans="1:11" s="8" customFormat="1">
      <c r="K28" s="10"/>
    </row>
    <row r="29" spans="1:11" s="8" customFormat="1">
      <c r="K29" s="10"/>
    </row>
    <row r="30" spans="1:11" s="8" customFormat="1">
      <c r="K30" s="10"/>
    </row>
    <row r="31" spans="1:11" s="8" customFormat="1">
      <c r="K31" s="10"/>
    </row>
    <row r="32" spans="1:11" s="8" customFormat="1">
      <c r="K32" s="10"/>
    </row>
    <row r="33" spans="11:11" s="8" customFormat="1">
      <c r="K33" s="10"/>
    </row>
    <row r="34" spans="11:11" s="8" customFormat="1">
      <c r="K34" s="10"/>
    </row>
    <row r="35" spans="11:11" s="8" customFormat="1">
      <c r="K35" s="10"/>
    </row>
    <row r="36" spans="11:11" s="8" customFormat="1">
      <c r="K36" s="10"/>
    </row>
    <row r="37" spans="11:11" s="8" customFormat="1">
      <c r="K37" s="10"/>
    </row>
    <row r="38" spans="11:11" s="8" customFormat="1">
      <c r="K38" s="10"/>
    </row>
    <row r="39" spans="11:11" s="8" customFormat="1">
      <c r="K39" s="10"/>
    </row>
  </sheetData>
  <pageMargins left="0.25" right="0.25" top="0.75" bottom="0.75" header="0.3" footer="0.3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6F9D5BB5A63140867F6B240EB3499B" ma:contentTypeVersion="0" ma:contentTypeDescription="Створення нового документа." ma:contentTypeScope="" ma:versionID="e1d3ee8d3f75d516a6721a465b5c97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c0cebb24628af8e57c4c5575463c9c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09CECA-6E2E-4C47-B9C9-38115A821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BD2067-7B93-48C0-B7A8-E379A43AE3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117AC5-4E06-4A62-B353-27874A4680CB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Калькулятор</vt:lpstr>
      <vt:lpstr>Продукти</vt:lpstr>
      <vt:lpstr>Maxamount</vt:lpstr>
      <vt:lpstr>Калькулятор!Print_Area</vt:lpstr>
      <vt:lpstr>Макс_срок</vt:lpstr>
      <vt:lpstr>Мін_срок</vt:lpstr>
      <vt:lpstr>Список_продуктов</vt:lpstr>
      <vt:lpstr>Срок_кредиту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Yurii.BOIKO@otpbank.com.ua</dc:creator>
  <cp:lastModifiedBy>RUSYN Nataliia Vitaliivna</cp:lastModifiedBy>
  <cp:lastPrinted>2024-08-13T13:05:17Z</cp:lastPrinted>
  <dcterms:created xsi:type="dcterms:W3CDTF">1998-01-06T07:30:47Z</dcterms:created>
  <dcterms:modified xsi:type="dcterms:W3CDTF">2026-10-16T12:31:24Z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0x0101002D6F9D5BB5A63140867F6B240EB3499B</vt:lpwstr>
  </property>
</Properties>
</file>