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\\fis06f\Reports\Product Development Division\2. Product Development Department\BoikoYS\Калькулятор\CASH\сайт\"/>
    </mc:Choice>
  </mc:AlternateContent>
  <xr:revisionPtr revIDLastSave="0" documentId="13_ncr:1_{E8216FDE-17DE-4081-A076-224D1671F311}" xr6:coauthVersionLast="47" xr6:coauthVersionMax="47" xr10:uidLastSave="{00000000-0000-0000-0000-000000000000}"/>
  <workbookProtection workbookAlgorithmName="SHA-512" workbookHashValue="M8LfzEy6o50Ab1dKhhv+Z+IzxntGniyf7q4d9Qb/9UDfNKM2AHuLev5SHcykXiTt1d4rzhjkEJte9mM7wxx1RQ==" workbookSaltValue="LflTXR8bAcBaTbOWMCMitg==" workbookSpinCount="100000" lockStructure="1"/>
  <bookViews>
    <workbookView xWindow="-108" yWindow="-108" windowWidth="23256" windowHeight="12576" tabRatio="415" xr2:uid="{00000000-000D-0000-FFFF-FFFF00000000}"/>
  </bookViews>
  <sheets>
    <sheet name="Калькулятор" sheetId="2" r:id="rId1"/>
    <sheet name="Продукти" sheetId="3" state="hidden" r:id="rId2"/>
  </sheets>
  <definedNames>
    <definedName name="Maxamount">Калькулятор!$F$15</definedName>
    <definedName name="Z_E07207AA_C3D8_48F1_8681_AD90196968B3_.wvu.PrintArea" localSheetId="0" hidden="1">Калькулятор!$B$1:$K$75</definedName>
    <definedName name="Макс_срок">Продукти!$M$3</definedName>
    <definedName name="Мін_срок">Продукти!$L$3</definedName>
    <definedName name="_xlnm.Print_Area" localSheetId="0">Калькулятор!$B$1:$S$101</definedName>
    <definedName name="Список_продуктов">Продукти!$B$2:$B$2</definedName>
    <definedName name="Срок_кредиту">Калькулятор!$F$9</definedName>
  </definedNames>
  <calcPr calcId="191029" calcMode="autoNoTable"/>
  <customWorkbookViews>
    <customWorkbookView name="BEZLEPKIN Oleksandr Gennadiiovych - Личное представление" guid="{E07207AA-C3D8-48F1-8681-AD90196968B3}" mergeInterval="0" personalView="1" maximized="1" xWindow="-8" yWindow="-8" windowWidth="1296" windowHeight="1010" tabRatio="41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" i="2" l="1"/>
  <c r="C96" i="2"/>
  <c r="C97" i="2"/>
  <c r="C98" i="2"/>
  <c r="C99" i="2"/>
  <c r="C100" i="2"/>
  <c r="C101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H5" i="2"/>
  <c r="D17" i="2" l="1"/>
  <c r="B2" i="3" l="1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K2" i="3" l="1"/>
  <c r="R2" i="3"/>
  <c r="S2" i="3"/>
  <c r="B3" i="3" l="1"/>
  <c r="E3" i="3" l="1"/>
  <c r="F11" i="2" s="1"/>
  <c r="D3" i="3"/>
  <c r="V3" i="3"/>
  <c r="F3" i="3"/>
  <c r="F12" i="2" s="1"/>
  <c r="J3" i="3"/>
  <c r="G3" i="3"/>
  <c r="F13" i="2" s="1"/>
  <c r="K3" i="3"/>
  <c r="C3" i="3"/>
  <c r="H3" i="3"/>
  <c r="F14" i="2" s="1"/>
  <c r="L3" i="3"/>
  <c r="Q3" i="3"/>
  <c r="U3" i="3"/>
  <c r="I3" i="3"/>
  <c r="G14" i="2" l="1"/>
  <c r="B9" i="2"/>
  <c r="F10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J94" i="2" l="1"/>
  <c r="U92" i="2" s="1"/>
  <c r="J78" i="2"/>
  <c r="U76" i="2" s="1"/>
  <c r="J85" i="2"/>
  <c r="U83" i="2" s="1"/>
  <c r="J92" i="2"/>
  <c r="U90" i="2" s="1"/>
  <c r="J100" i="2"/>
  <c r="U98" i="2" s="1"/>
  <c r="J87" i="2"/>
  <c r="U85" i="2" s="1"/>
  <c r="J89" i="2"/>
  <c r="U87" i="2" s="1"/>
  <c r="J80" i="2"/>
  <c r="U78" i="2" s="1"/>
  <c r="J90" i="2"/>
  <c r="U88" i="2" s="1"/>
  <c r="J98" i="2"/>
  <c r="U96" i="2" s="1"/>
  <c r="J81" i="2"/>
  <c r="U79" i="2" s="1"/>
  <c r="J88" i="2"/>
  <c r="U86" i="2" s="1"/>
  <c r="J96" i="2"/>
  <c r="U94" i="2" s="1"/>
  <c r="J83" i="2"/>
  <c r="U81" i="2" s="1"/>
  <c r="J79" i="2"/>
  <c r="U77" i="2" s="1"/>
  <c r="J97" i="2"/>
  <c r="U95" i="2" s="1"/>
  <c r="J99" i="2"/>
  <c r="U97" i="2" s="1"/>
  <c r="J86" i="2"/>
  <c r="U84" i="2" s="1"/>
  <c r="J93" i="2"/>
  <c r="U91" i="2" s="1"/>
  <c r="J101" i="2"/>
  <c r="U99" i="2" s="1"/>
  <c r="J84" i="2"/>
  <c r="U82" i="2" s="1"/>
  <c r="J95" i="2"/>
  <c r="U93" i="2" s="1"/>
  <c r="J82" i="2"/>
  <c r="U80" i="2" s="1"/>
  <c r="J91" i="2"/>
  <c r="U89" i="2" s="1"/>
  <c r="J19" i="2"/>
  <c r="U17" i="2" s="1"/>
  <c r="J31" i="2"/>
  <c r="U29" i="2" s="1"/>
  <c r="J39" i="2"/>
  <c r="U37" i="2" s="1"/>
  <c r="J43" i="2"/>
  <c r="U41" i="2" s="1"/>
  <c r="J51" i="2"/>
  <c r="U49" i="2" s="1"/>
  <c r="J59" i="2"/>
  <c r="U57" i="2" s="1"/>
  <c r="J67" i="2"/>
  <c r="U65" i="2" s="1"/>
  <c r="J75" i="2"/>
  <c r="U73" i="2" s="1"/>
  <c r="J23" i="2"/>
  <c r="U21" i="2" s="1"/>
  <c r="J27" i="2"/>
  <c r="U25" i="2" s="1"/>
  <c r="J35" i="2"/>
  <c r="U33" i="2" s="1"/>
  <c r="J47" i="2"/>
  <c r="U45" i="2" s="1"/>
  <c r="J55" i="2"/>
  <c r="U53" i="2" s="1"/>
  <c r="J63" i="2"/>
  <c r="U61" i="2" s="1"/>
  <c r="J71" i="2"/>
  <c r="U69" i="2" s="1"/>
  <c r="J20" i="2"/>
  <c r="U18" i="2" s="1"/>
  <c r="J28" i="2"/>
  <c r="U26" i="2" s="1"/>
  <c r="J36" i="2"/>
  <c r="U34" i="2" s="1"/>
  <c r="J44" i="2"/>
  <c r="U42" i="2" s="1"/>
  <c r="J52" i="2"/>
  <c r="U50" i="2" s="1"/>
  <c r="J60" i="2"/>
  <c r="U58" i="2" s="1"/>
  <c r="J68" i="2"/>
  <c r="U66" i="2" s="1"/>
  <c r="J76" i="2"/>
  <c r="U74" i="2" s="1"/>
  <c r="J21" i="2"/>
  <c r="U19" i="2" s="1"/>
  <c r="J25" i="2"/>
  <c r="U23" i="2" s="1"/>
  <c r="J29" i="2"/>
  <c r="U27" i="2" s="1"/>
  <c r="J33" i="2"/>
  <c r="U31" i="2" s="1"/>
  <c r="J37" i="2"/>
  <c r="U35" i="2" s="1"/>
  <c r="J41" i="2"/>
  <c r="U39" i="2" s="1"/>
  <c r="J45" i="2"/>
  <c r="U43" i="2" s="1"/>
  <c r="J24" i="2"/>
  <c r="U22" i="2" s="1"/>
  <c r="J32" i="2"/>
  <c r="U30" i="2" s="1"/>
  <c r="J40" i="2"/>
  <c r="U38" i="2" s="1"/>
  <c r="J48" i="2"/>
  <c r="U46" i="2" s="1"/>
  <c r="J56" i="2"/>
  <c r="U54" i="2" s="1"/>
  <c r="J64" i="2"/>
  <c r="U62" i="2" s="1"/>
  <c r="J72" i="2"/>
  <c r="U70" i="2" s="1"/>
  <c r="J18" i="2"/>
  <c r="J22" i="2"/>
  <c r="U20" i="2" s="1"/>
  <c r="J26" i="2"/>
  <c r="U24" i="2" s="1"/>
  <c r="J30" i="2"/>
  <c r="U28" i="2" s="1"/>
  <c r="J34" i="2"/>
  <c r="U32" i="2" s="1"/>
  <c r="J38" i="2"/>
  <c r="U36" i="2" s="1"/>
  <c r="J42" i="2"/>
  <c r="U40" i="2" s="1"/>
  <c r="J49" i="2"/>
  <c r="U47" i="2" s="1"/>
  <c r="J53" i="2"/>
  <c r="U51" i="2" s="1"/>
  <c r="J57" i="2"/>
  <c r="U55" i="2" s="1"/>
  <c r="J61" i="2"/>
  <c r="U59" i="2" s="1"/>
  <c r="J65" i="2"/>
  <c r="U63" i="2" s="1"/>
  <c r="J69" i="2"/>
  <c r="U67" i="2" s="1"/>
  <c r="J73" i="2"/>
  <c r="U71" i="2" s="1"/>
  <c r="J77" i="2"/>
  <c r="U75" i="2" s="1"/>
  <c r="J46" i="2"/>
  <c r="U44" i="2" s="1"/>
  <c r="J50" i="2"/>
  <c r="U48" i="2" s="1"/>
  <c r="J54" i="2"/>
  <c r="U52" i="2" s="1"/>
  <c r="J58" i="2"/>
  <c r="U56" i="2" s="1"/>
  <c r="J62" i="2"/>
  <c r="U60" i="2" s="1"/>
  <c r="J66" i="2"/>
  <c r="U64" i="2" s="1"/>
  <c r="J70" i="2"/>
  <c r="U68" i="2" s="1"/>
  <c r="J74" i="2"/>
  <c r="U72" i="2" s="1"/>
  <c r="D18" i="2"/>
  <c r="D19" i="2" l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F15" i="2"/>
  <c r="E17" i="2" l="1"/>
  <c r="M2" i="3"/>
  <c r="N2" i="3" s="1"/>
  <c r="T2" i="3"/>
  <c r="P3" i="3"/>
  <c r="S3" i="3"/>
  <c r="W1" i="3"/>
  <c r="G13" i="2"/>
  <c r="N7" i="2" l="1"/>
  <c r="G9" i="2"/>
  <c r="H17" i="2"/>
  <c r="V81" i="2"/>
  <c r="V77" i="2"/>
  <c r="V89" i="2"/>
  <c r="V91" i="2"/>
  <c r="V80" i="2"/>
  <c r="V85" i="2"/>
  <c r="V90" i="2"/>
  <c r="V79" i="2"/>
  <c r="V96" i="2"/>
  <c r="V86" i="2"/>
  <c r="V76" i="2"/>
  <c r="V98" i="2"/>
  <c r="V87" i="2"/>
  <c r="V84" i="2"/>
  <c r="V97" i="2"/>
  <c r="V83" i="2"/>
  <c r="V93" i="2"/>
  <c r="V82" i="2"/>
  <c r="V94" i="2"/>
  <c r="V99" i="2"/>
  <c r="V92" i="2"/>
  <c r="V88" i="2"/>
  <c r="V78" i="2"/>
  <c r="V95" i="2"/>
  <c r="V71" i="2"/>
  <c r="V72" i="2"/>
  <c r="V65" i="2"/>
  <c r="V75" i="2"/>
  <c r="V70" i="2"/>
  <c r="V73" i="2"/>
  <c r="V74" i="2"/>
  <c r="V69" i="2"/>
  <c r="V68" i="2"/>
  <c r="V67" i="2"/>
  <c r="V66" i="2"/>
  <c r="V64" i="2"/>
  <c r="V19" i="2"/>
  <c r="V23" i="2"/>
  <c r="V27" i="2"/>
  <c r="V31" i="2"/>
  <c r="V35" i="2"/>
  <c r="V39" i="2"/>
  <c r="V43" i="2"/>
  <c r="V47" i="2"/>
  <c r="V51" i="2"/>
  <c r="V55" i="2"/>
  <c r="V59" i="2"/>
  <c r="V63" i="2"/>
  <c r="V22" i="2"/>
  <c r="V30" i="2"/>
  <c r="V42" i="2"/>
  <c r="V50" i="2"/>
  <c r="V58" i="2"/>
  <c r="V20" i="2"/>
  <c r="V24" i="2"/>
  <c r="V28" i="2"/>
  <c r="V32" i="2"/>
  <c r="V36" i="2"/>
  <c r="V40" i="2"/>
  <c r="V44" i="2"/>
  <c r="V48" i="2"/>
  <c r="V52" i="2"/>
  <c r="V56" i="2"/>
  <c r="V60" i="2"/>
  <c r="V17" i="2"/>
  <c r="V21" i="2"/>
  <c r="V25" i="2"/>
  <c r="V29" i="2"/>
  <c r="V33" i="2"/>
  <c r="V37" i="2"/>
  <c r="V41" i="2"/>
  <c r="V45" i="2"/>
  <c r="V49" i="2"/>
  <c r="V53" i="2"/>
  <c r="V57" i="2"/>
  <c r="V61" i="2"/>
  <c r="V18" i="2"/>
  <c r="V26" i="2"/>
  <c r="V34" i="2"/>
  <c r="V38" i="2"/>
  <c r="V46" i="2"/>
  <c r="V54" i="2"/>
  <c r="V62" i="2"/>
  <c r="T3" i="3"/>
  <c r="M3" i="3"/>
  <c r="R3" i="3"/>
  <c r="W17" i="2" l="1"/>
  <c r="A18" i="2"/>
  <c r="G18" i="2"/>
  <c r="N3" i="3"/>
  <c r="E18" i="2" l="1"/>
  <c r="M9" i="2" l="1"/>
  <c r="H18" i="2"/>
  <c r="F18" i="2"/>
  <c r="A19" i="2" l="1"/>
  <c r="G19" i="2"/>
  <c r="E19" i="2" l="1"/>
  <c r="F19" i="2" l="1"/>
  <c r="H19" i="2"/>
  <c r="A20" i="2" l="1"/>
  <c r="G20" i="2"/>
  <c r="E20" i="2" l="1"/>
  <c r="F20" i="2" l="1"/>
  <c r="H20" i="2"/>
  <c r="G21" i="2" s="1"/>
  <c r="A21" i="2" l="1"/>
  <c r="E21" i="2" s="1"/>
  <c r="F21" i="2" s="1"/>
  <c r="H21" i="2" l="1"/>
  <c r="A22" i="2" l="1"/>
  <c r="G22" i="2"/>
  <c r="E22" i="2" l="1"/>
  <c r="F22" i="2" s="1"/>
  <c r="H22" i="2" l="1"/>
  <c r="A23" i="2" l="1"/>
  <c r="G23" i="2"/>
  <c r="E23" i="2" l="1"/>
  <c r="F23" i="2" s="1"/>
  <c r="H23" i="2" l="1"/>
  <c r="G24" i="2" s="1"/>
  <c r="A24" i="2" l="1"/>
  <c r="E24" i="2" s="1"/>
  <c r="F24" i="2" s="1"/>
  <c r="H24" i="2" l="1"/>
  <c r="G25" i="2" s="1"/>
  <c r="A25" i="2" l="1"/>
  <c r="E25" i="2" s="1"/>
  <c r="F25" i="2" s="1"/>
  <c r="H25" i="2" l="1"/>
  <c r="G26" i="2" s="1"/>
  <c r="A26" i="2" l="1"/>
  <c r="E26" i="2" s="1"/>
  <c r="F26" i="2" s="1"/>
  <c r="H26" i="2" l="1"/>
  <c r="G27" i="2" s="1"/>
  <c r="A27" i="2" l="1"/>
  <c r="E27" i="2" s="1"/>
  <c r="F27" i="2" s="1"/>
  <c r="H27" i="2" l="1"/>
  <c r="G28" i="2" s="1"/>
  <c r="A28" i="2" l="1"/>
  <c r="E28" i="2" s="1"/>
  <c r="F28" i="2" s="1"/>
  <c r="H28" i="2" l="1"/>
  <c r="A29" i="2" s="1"/>
  <c r="G29" i="2" l="1"/>
  <c r="E29" i="2" s="1"/>
  <c r="F29" i="2" s="1"/>
  <c r="H29" i="2" l="1"/>
  <c r="A30" i="2" s="1"/>
  <c r="G30" i="2" l="1"/>
  <c r="E30" i="2" s="1"/>
  <c r="F30" i="2" s="1"/>
  <c r="H30" i="2" l="1"/>
  <c r="G31" i="2" s="1"/>
  <c r="A31" i="2" l="1"/>
  <c r="E31" i="2" s="1"/>
  <c r="F31" i="2" s="1"/>
  <c r="H31" i="2" l="1"/>
  <c r="A32" i="2" s="1"/>
  <c r="G32" i="2" l="1"/>
  <c r="E32" i="2" s="1"/>
  <c r="F32" i="2" s="1"/>
  <c r="H32" i="2" l="1"/>
  <c r="A33" i="2" s="1"/>
  <c r="G33" i="2" l="1"/>
  <c r="E33" i="2" s="1"/>
  <c r="F33" i="2" s="1"/>
  <c r="H33" i="2" l="1"/>
  <c r="G34" i="2" s="1"/>
  <c r="A34" i="2" l="1"/>
  <c r="E34" i="2" s="1"/>
  <c r="F34" i="2" s="1"/>
  <c r="H34" i="2" l="1"/>
  <c r="G35" i="2" s="1"/>
  <c r="A35" i="2" l="1"/>
  <c r="E35" i="2" s="1"/>
  <c r="F35" i="2" s="1"/>
  <c r="H35" i="2" l="1"/>
  <c r="G36" i="2" s="1"/>
  <c r="A36" i="2" l="1"/>
  <c r="E36" i="2" s="1"/>
  <c r="F36" i="2" s="1"/>
  <c r="H36" i="2" l="1"/>
  <c r="G37" i="2" s="1"/>
  <c r="A37" i="2" l="1"/>
  <c r="E37" i="2" s="1"/>
  <c r="F37" i="2" s="1"/>
  <c r="H37" i="2" l="1"/>
  <c r="G38" i="2" s="1"/>
  <c r="A38" i="2" l="1"/>
  <c r="E38" i="2" s="1"/>
  <c r="F38" i="2" s="1"/>
  <c r="H38" i="2" l="1"/>
  <c r="G39" i="2" s="1"/>
  <c r="A39" i="2" l="1"/>
  <c r="E39" i="2" s="1"/>
  <c r="F39" i="2" s="1"/>
  <c r="H39" i="2" l="1"/>
  <c r="A40" i="2" l="1"/>
  <c r="G40" i="2"/>
  <c r="E40" i="2" l="1"/>
  <c r="F40" i="2" s="1"/>
  <c r="H40" i="2" l="1"/>
  <c r="A41" i="2" s="1"/>
  <c r="G41" i="2" l="1"/>
  <c r="E41" i="2" s="1"/>
  <c r="F41" i="2" s="1"/>
  <c r="H41" i="2" l="1"/>
  <c r="A42" i="2" l="1"/>
  <c r="G42" i="2"/>
  <c r="E42" i="2" l="1"/>
  <c r="H42" i="2" s="1"/>
  <c r="A43" i="2" l="1"/>
  <c r="G43" i="2"/>
  <c r="F42" i="2"/>
  <c r="E43" i="2" l="1"/>
  <c r="H43" i="2" s="1"/>
  <c r="F43" i="2" l="1"/>
  <c r="A44" i="2"/>
  <c r="G44" i="2"/>
  <c r="E44" i="2" l="1"/>
  <c r="F44" i="2" s="1"/>
  <c r="H44" i="2" l="1"/>
  <c r="A45" i="2" s="1"/>
  <c r="G45" i="2" l="1"/>
  <c r="E45" i="2" s="1"/>
  <c r="H45" i="2" s="1"/>
  <c r="A46" i="2" l="1"/>
  <c r="G46" i="2"/>
  <c r="F45" i="2"/>
  <c r="E46" i="2" l="1"/>
  <c r="F46" i="2" s="1"/>
  <c r="H46" i="2" l="1"/>
  <c r="A47" i="2" s="1"/>
  <c r="G47" i="2" l="1"/>
  <c r="E47" i="2" s="1"/>
  <c r="F47" i="2" s="1"/>
  <c r="H47" i="2" l="1"/>
  <c r="A48" i="2" l="1"/>
  <c r="G48" i="2"/>
  <c r="E48" i="2" l="1"/>
  <c r="F48" i="2" s="1"/>
  <c r="H48" i="2" l="1"/>
  <c r="A49" i="2" s="1"/>
  <c r="G49" i="2" l="1"/>
  <c r="E49" i="2" s="1"/>
  <c r="F49" i="2" s="1"/>
  <c r="H49" i="2" l="1"/>
  <c r="A50" i="2" s="1"/>
  <c r="G50" i="2" l="1"/>
  <c r="E50" i="2" s="1"/>
  <c r="F50" i="2" s="1"/>
  <c r="H50" i="2" l="1"/>
  <c r="A51" i="2" s="1"/>
  <c r="G51" i="2" l="1"/>
  <c r="E51" i="2" s="1"/>
  <c r="F51" i="2" s="1"/>
  <c r="H51" i="2" l="1"/>
  <c r="A52" i="2" s="1"/>
  <c r="G52" i="2" l="1"/>
  <c r="E52" i="2" s="1"/>
  <c r="F52" i="2" s="1"/>
  <c r="H52" i="2" l="1"/>
  <c r="A53" i="2" s="1"/>
  <c r="G53" i="2" l="1"/>
  <c r="E53" i="2" s="1"/>
  <c r="F53" i="2" s="1"/>
  <c r="H53" i="2" l="1"/>
  <c r="A54" i="2" s="1"/>
  <c r="G54" i="2" l="1"/>
  <c r="E54" i="2" s="1"/>
  <c r="F54" i="2" s="1"/>
  <c r="H54" i="2" l="1"/>
  <c r="A55" i="2" l="1"/>
  <c r="G55" i="2"/>
  <c r="E55" i="2" l="1"/>
  <c r="F55" i="2" s="1"/>
  <c r="H55" i="2" l="1"/>
  <c r="G56" i="2" s="1"/>
  <c r="A56" i="2" l="1"/>
  <c r="E56" i="2" s="1"/>
  <c r="F56" i="2" s="1"/>
  <c r="H56" i="2" l="1"/>
  <c r="A57" i="2" s="1"/>
  <c r="G57" i="2" l="1"/>
  <c r="E57" i="2" s="1"/>
  <c r="F57" i="2" s="1"/>
  <c r="H57" i="2" l="1"/>
  <c r="A58" i="2" s="1"/>
  <c r="G58" i="2" l="1"/>
  <c r="E58" i="2" s="1"/>
  <c r="F58" i="2" s="1"/>
  <c r="H58" i="2" l="1"/>
  <c r="A59" i="2" s="1"/>
  <c r="G59" i="2" l="1"/>
  <c r="E59" i="2" s="1"/>
  <c r="H59" i="2" s="1"/>
  <c r="A60" i="2" l="1"/>
  <c r="G60" i="2"/>
  <c r="F59" i="2"/>
  <c r="E60" i="2" l="1"/>
  <c r="F60" i="2" s="1"/>
  <c r="H60" i="2" l="1"/>
  <c r="A61" i="2" s="1"/>
  <c r="G61" i="2" l="1"/>
  <c r="E61" i="2" s="1"/>
  <c r="F61" i="2" s="1"/>
  <c r="H61" i="2" l="1"/>
  <c r="A62" i="2" s="1"/>
  <c r="G62" i="2" l="1"/>
  <c r="E62" i="2" s="1"/>
  <c r="F62" i="2" s="1"/>
  <c r="H62" i="2" l="1"/>
  <c r="A63" i="2" s="1"/>
  <c r="G63" i="2" l="1"/>
  <c r="E63" i="2" s="1"/>
  <c r="F63" i="2" s="1"/>
  <c r="H63" i="2" l="1"/>
  <c r="A64" i="2" s="1"/>
  <c r="G64" i="2" l="1"/>
  <c r="E64" i="2" s="1"/>
  <c r="F64" i="2" s="1"/>
  <c r="H64" i="2" l="1"/>
  <c r="A65" i="2" s="1"/>
  <c r="G65" i="2" l="1"/>
  <c r="E65" i="2" s="1"/>
  <c r="H65" i="2" s="1"/>
  <c r="A66" i="2" s="1"/>
  <c r="F65" i="2" l="1"/>
  <c r="G66" i="2"/>
  <c r="E66" i="2" s="1"/>
  <c r="F66" i="2" s="1"/>
  <c r="H66" i="2" l="1"/>
  <c r="A67" i="2" s="1"/>
  <c r="G67" i="2" l="1"/>
  <c r="E67" i="2" s="1"/>
  <c r="F67" i="2" s="1"/>
  <c r="H67" i="2" l="1"/>
  <c r="A68" i="2" s="1"/>
  <c r="G68" i="2" l="1"/>
  <c r="E68" i="2" s="1"/>
  <c r="H68" i="2" s="1"/>
  <c r="A69" i="2" l="1"/>
  <c r="G69" i="2"/>
  <c r="F68" i="2"/>
  <c r="E69" i="2" l="1"/>
  <c r="F69" i="2" s="1"/>
  <c r="H69" i="2" l="1"/>
  <c r="A70" i="2" s="1"/>
  <c r="G70" i="2" l="1"/>
  <c r="E70" i="2" s="1"/>
  <c r="F70" i="2" s="1"/>
  <c r="H70" i="2" l="1"/>
  <c r="A71" i="2" s="1"/>
  <c r="G71" i="2" l="1"/>
  <c r="E71" i="2" s="1"/>
  <c r="F71" i="2" s="1"/>
  <c r="H71" i="2" l="1"/>
  <c r="A72" i="2" s="1"/>
  <c r="G72" i="2" l="1"/>
  <c r="E72" i="2" s="1"/>
  <c r="F72" i="2" s="1"/>
  <c r="H72" i="2" l="1"/>
  <c r="A73" i="2" s="1"/>
  <c r="G73" i="2" l="1"/>
  <c r="E73" i="2" s="1"/>
  <c r="F73" i="2" s="1"/>
  <c r="H73" i="2" l="1"/>
  <c r="A74" i="2" s="1"/>
  <c r="G74" i="2" l="1"/>
  <c r="E74" i="2" s="1"/>
  <c r="F74" i="2" s="1"/>
  <c r="H74" i="2" l="1"/>
  <c r="A75" i="2" s="1"/>
  <c r="G75" i="2" l="1"/>
  <c r="E75" i="2" s="1"/>
  <c r="H75" i="2" s="1"/>
  <c r="A76" i="2" l="1"/>
  <c r="G76" i="2"/>
  <c r="F75" i="2"/>
  <c r="E76" i="2" l="1"/>
  <c r="H76" i="2" s="1"/>
  <c r="A77" i="2" s="1"/>
  <c r="F76" i="2" l="1"/>
  <c r="G77" i="2"/>
  <c r="E77" i="2" l="1"/>
  <c r="F77" i="2" l="1"/>
  <c r="H77" i="2"/>
  <c r="A78" i="2" l="1"/>
  <c r="G78" i="2"/>
  <c r="E78" i="2" s="1"/>
  <c r="F78" i="2" l="1"/>
  <c r="H78" i="2"/>
  <c r="A79" i="2" l="1"/>
  <c r="G79" i="2"/>
  <c r="E79" i="2" s="1"/>
  <c r="F79" i="2" l="1"/>
  <c r="H79" i="2"/>
  <c r="A80" i="2" l="1"/>
  <c r="G80" i="2"/>
  <c r="E80" i="2" l="1"/>
  <c r="F80" i="2" s="1"/>
  <c r="H80" i="2" l="1"/>
  <c r="A81" i="2" s="1"/>
  <c r="G81" i="2" l="1"/>
  <c r="E81" i="2" s="1"/>
  <c r="H81" i="2" l="1"/>
  <c r="A82" i="2" s="1"/>
  <c r="F81" i="2"/>
  <c r="G82" i="2" l="1"/>
  <c r="E82" i="2" s="1"/>
  <c r="F82" i="2" s="1"/>
  <c r="H82" i="2" l="1"/>
  <c r="A83" i="2" l="1"/>
  <c r="G83" i="2"/>
  <c r="E83" i="2" s="1"/>
  <c r="F83" i="2" l="1"/>
  <c r="H83" i="2"/>
  <c r="A84" i="2" s="1"/>
  <c r="G84" i="2" l="1"/>
  <c r="E84" i="2" s="1"/>
  <c r="F84" i="2" s="1"/>
  <c r="H84" i="2" l="1"/>
  <c r="A85" i="2" l="1"/>
  <c r="G85" i="2"/>
  <c r="E85" i="2" s="1"/>
  <c r="F85" i="2" s="1"/>
  <c r="H85" i="2" l="1"/>
  <c r="A86" i="2" s="1"/>
  <c r="G86" i="2" l="1"/>
  <c r="E86" i="2" s="1"/>
  <c r="F86" i="2" s="1"/>
  <c r="H86" i="2" l="1"/>
  <c r="A87" i="2" s="1"/>
  <c r="G87" i="2" l="1"/>
  <c r="E87" i="2" s="1"/>
  <c r="F87" i="2" s="1"/>
  <c r="H87" i="2" l="1"/>
  <c r="A88" i="2" s="1"/>
  <c r="G88" i="2" l="1"/>
  <c r="E88" i="2" s="1"/>
  <c r="F88" i="2" s="1"/>
  <c r="H88" i="2" l="1"/>
  <c r="A89" i="2" l="1"/>
  <c r="G89" i="2"/>
  <c r="E89" i="2" l="1"/>
  <c r="F89" i="2" s="1"/>
  <c r="H89" i="2" l="1"/>
  <c r="A90" i="2" l="1"/>
  <c r="G90" i="2"/>
  <c r="E90" i="2" l="1"/>
  <c r="F90" i="2" s="1"/>
  <c r="H90" i="2" l="1"/>
  <c r="A91" i="2" s="1"/>
  <c r="G91" i="2" l="1"/>
  <c r="E91" i="2" s="1"/>
  <c r="F91" i="2" s="1"/>
  <c r="H91" i="2" l="1"/>
  <c r="A92" i="2" s="1"/>
  <c r="G92" i="2" l="1"/>
  <c r="E92" i="2" s="1"/>
  <c r="F92" i="2" s="1"/>
  <c r="H92" i="2" l="1"/>
  <c r="A93" i="2" s="1"/>
  <c r="G93" i="2" l="1"/>
  <c r="E93" i="2" s="1"/>
  <c r="F93" i="2" s="1"/>
  <c r="H93" i="2" l="1"/>
  <c r="A94" i="2" s="1"/>
  <c r="G94" i="2" l="1"/>
  <c r="E94" i="2" s="1"/>
  <c r="F94" i="2" s="1"/>
  <c r="H94" i="2" l="1"/>
  <c r="A95" i="2" s="1"/>
  <c r="G95" i="2" l="1"/>
  <c r="E95" i="2" s="1"/>
  <c r="F95" i="2" s="1"/>
  <c r="H95" i="2" l="1"/>
  <c r="A96" i="2" s="1"/>
  <c r="G96" i="2" l="1"/>
  <c r="E96" i="2" s="1"/>
  <c r="H96" i="2" s="1"/>
  <c r="A97" i="2" l="1"/>
  <c r="G97" i="2"/>
  <c r="E97" i="2" s="1"/>
  <c r="F96" i="2"/>
  <c r="F97" i="2" l="1"/>
  <c r="H97" i="2"/>
  <c r="A98" i="2" l="1"/>
  <c r="G98" i="2"/>
  <c r="E98" i="2" s="1"/>
  <c r="F98" i="2" l="1"/>
  <c r="H98" i="2"/>
  <c r="A99" i="2" l="1"/>
  <c r="G99" i="2"/>
  <c r="E99" i="2" l="1"/>
  <c r="F99" i="2" s="1"/>
  <c r="H99" i="2" l="1"/>
  <c r="A100" i="2" s="1"/>
  <c r="G100" i="2" l="1"/>
  <c r="E100" i="2" s="1"/>
  <c r="F100" i="2" s="1"/>
  <c r="H100" i="2" l="1"/>
  <c r="A101" i="2" s="1"/>
  <c r="G101" i="2" l="1"/>
  <c r="G17" i="2" s="1"/>
  <c r="M10" i="2" s="1"/>
  <c r="M11" i="2" s="1"/>
  <c r="E101" i="2" l="1"/>
  <c r="M12" i="2" s="1"/>
  <c r="H101" i="2" l="1"/>
  <c r="F101" i="2"/>
  <c r="F17" i="2" s="1"/>
</calcChain>
</file>

<file path=xl/sharedStrings.xml><?xml version="1.0" encoding="utf-8"?>
<sst xmlns="http://schemas.openxmlformats.org/spreadsheetml/2006/main" count="58" uniqueCount="54">
  <si>
    <t>№</t>
  </si>
  <si>
    <t>Продукт</t>
  </si>
  <si>
    <t>Страх. Тариф
Do not Use</t>
  </si>
  <si>
    <t>Розрахунок кредиту</t>
  </si>
  <si>
    <t>Термін кредиту, міс</t>
  </si>
  <si>
    <t>Щомісячна комісія, %</t>
  </si>
  <si>
    <t>Одноразова комісія, %</t>
  </si>
  <si>
    <t>Дата платежу</t>
  </si>
  <si>
    <t>Щомісячний платіж</t>
  </si>
  <si>
    <t>Тіло кредиту</t>
  </si>
  <si>
    <t>Відсотки</t>
  </si>
  <si>
    <t>Залишок тіла кредиту</t>
  </si>
  <si>
    <t xml:space="preserve">Назва продукту </t>
  </si>
  <si>
    <t>відсутня</t>
  </si>
  <si>
    <r>
      <t xml:space="preserve">Одноразова комісія за видачу кредиту </t>
    </r>
    <r>
      <rPr>
        <sz val="10"/>
        <color rgb="FF000000"/>
        <rFont val="Calibri"/>
        <family val="2"/>
        <charset val="204"/>
      </rPr>
      <t>(включена в щомісячний платіж)</t>
    </r>
    <r>
      <rPr>
        <b/>
        <sz val="10"/>
        <color rgb="FF000000"/>
        <rFont val="Calibri"/>
        <family val="2"/>
        <charset val="204"/>
      </rPr>
      <t>, %</t>
    </r>
  </si>
  <si>
    <t>Параметри продукту</t>
  </si>
  <si>
    <t>Standart</t>
  </si>
  <si>
    <t>#</t>
  </si>
  <si>
    <t>Назва продукту</t>
  </si>
  <si>
    <t>Термін Grace, міс.</t>
  </si>
  <si>
    <t>Комісія в Grace</t>
  </si>
  <si>
    <t>Річна ставка в Grace, %</t>
  </si>
  <si>
    <t>Річна ставка</t>
  </si>
  <si>
    <t>Щоміс.комісія</t>
  </si>
  <si>
    <t>Разова комісія</t>
  </si>
  <si>
    <t>Мін.сума, грн</t>
  </si>
  <si>
    <t>Макс.сума, грн</t>
  </si>
  <si>
    <t>Ліміти</t>
  </si>
  <si>
    <t>Термін, мін</t>
  </si>
  <si>
    <t>Термін, макс</t>
  </si>
  <si>
    <t>Термін, міс</t>
  </si>
  <si>
    <t>Мін.вік</t>
  </si>
  <si>
    <t>Макс.вік</t>
  </si>
  <si>
    <t>Примітка</t>
  </si>
  <si>
    <t>Стаж роботи</t>
  </si>
  <si>
    <t>Мінімальний дохід, грн</t>
  </si>
  <si>
    <t>Product type</t>
  </si>
  <si>
    <t>Subtype</t>
  </si>
  <si>
    <t>big</t>
  </si>
  <si>
    <t>Загальна вартість кредиту</t>
  </si>
  <si>
    <t>Реальна річна процентна ставка</t>
  </si>
  <si>
    <t xml:space="preserve">Щомісячний платіж </t>
  </si>
  <si>
    <t>Загальні витрати за кредитом</t>
  </si>
  <si>
    <t>Термін пільгового періоду</t>
  </si>
  <si>
    <t>Річна ставка в пільговий період, %</t>
  </si>
  <si>
    <t>Бажана сума, грн.</t>
  </si>
  <si>
    <t>Сума кредиту, грн</t>
  </si>
  <si>
    <t>УМОВИ КРЕДИТУВАННЯ ВІД 
"OTP BANK"</t>
  </si>
  <si>
    <t>Термін кредиту, міс.</t>
  </si>
  <si>
    <t>Річна ставка після пільгового періоду %</t>
  </si>
  <si>
    <t>Термін пільгового періоду, міс</t>
  </si>
  <si>
    <t>Річна ставка після пільгового періоду, %</t>
  </si>
  <si>
    <t>Новобудова My Home</t>
  </si>
  <si>
    <t>2 міс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</si>
</sst>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-* #,##0.00_₴_-;\-* #,##0.00_₴_-;_-* &quot;-&quot;??_₴_-;_-@_-"/>
    <numFmt numFmtId="166" formatCode="_-* #,##0.00\ _г_р_н_._-;\-* #,##0.00\ _г_р_н_._-;_-* &quot;-&quot;??\ _г_р_н_._-;_-@_-"/>
    <numFmt numFmtId="167" formatCode="_-* #,##0.00_р_._-;\-* #,##0.00_р_._-;_-* &quot;-&quot;??_р_._-;_-@_-"/>
    <numFmt numFmtId="168" formatCode="_-* #,##0.00\ [$грн.-422]_-;\-* #,##0.00\ [$грн.-422]_-;_-* &quot;-&quot;??\ [$грн.-422]_-;_-@_-"/>
    <numFmt numFmtId="169" formatCode="_-* #,##0.00_р_._-;\-* #,##0.00_р_._-;_-* \-??_р_._-;_-@_-"/>
    <numFmt numFmtId="170" formatCode="_-* #,##0.00&quot;р.&quot;_-;\-* #,##0.00&quot;р.&quot;_-;_-* &quot;-&quot;??&quot;р.&quot;_-;_-@_-"/>
    <numFmt numFmtId="171" formatCode="_-* #,##0\ [$грн.-422]_-;\-* #,##0\ [$грн.-422]_-;_-* &quot;-&quot;??\ [$грн.-422]_-;_-@_-"/>
  </numFmts>
  <fonts count="29">
    <font>
      <sz val="10"/>
      <name val="Arial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4"/>
      <name val="Formata OTP Lig"/>
      <family val="2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0" tint="-0.34998626667073579"/>
      <name val="Calibri"/>
      <family val="2"/>
      <charset val="204"/>
      <scheme val="minor"/>
    </font>
    <font>
      <b/>
      <i/>
      <sz val="11"/>
      <color theme="3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0" tint="-0.34998626667073579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8"/>
      <color theme="0" tint="-4.9989318521683403E-2"/>
      <name val="Calibri"/>
      <family val="2"/>
      <charset val="204"/>
      <scheme val="minor"/>
    </font>
    <font>
      <sz val="10"/>
      <color theme="0" tint="-0.249977111117893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i/>
      <sz val="12"/>
      <color rgb="FF04543B"/>
      <name val="Formata OTP Lig"/>
      <family val="2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FEF79C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gradientFill degree="90">
        <stop position="0">
          <color rgb="FF92D050"/>
        </stop>
        <stop position="0.5">
          <color theme="6" tint="0.80001220740379042"/>
        </stop>
        <stop position="1">
          <color rgb="FF92D050"/>
        </stop>
      </gradientFill>
    </fill>
    <fill>
      <patternFill patternType="solid">
        <fgColor theme="1"/>
        <bgColor indexed="64"/>
      </patternFill>
    </fill>
    <fill>
      <gradientFill degree="18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double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04">
    <xf numFmtId="0" fontId="0" fillId="0" borderId="0"/>
    <xf numFmtId="169" fontId="7" fillId="0" borderId="0" applyFill="0" applyBorder="0" applyAlignment="0" applyProtection="0"/>
    <xf numFmtId="167" fontId="5" fillId="0" borderId="0" applyFont="0" applyFill="0" applyBorder="0" applyAlignment="0" applyProtection="0"/>
    <xf numFmtId="0" fontId="6" fillId="0" borderId="0"/>
    <xf numFmtId="0" fontId="5" fillId="0" borderId="0"/>
    <xf numFmtId="9" fontId="7" fillId="0" borderId="0" applyFill="0" applyBorder="0" applyAlignment="0" applyProtection="0"/>
    <xf numFmtId="9" fontId="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/>
    <xf numFmtId="0" fontId="10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left"/>
    </xf>
    <xf numFmtId="10" fontId="18" fillId="0" borderId="0" xfId="49" applyNumberFormat="1" applyFont="1" applyFill="1"/>
    <xf numFmtId="10" fontId="11" fillId="3" borderId="4" xfId="41" applyNumberFormat="1" applyFont="1" applyFill="1" applyBorder="1" applyAlignment="1" applyProtection="1">
      <alignment horizontal="center" vertical="center"/>
      <protection hidden="1"/>
    </xf>
    <xf numFmtId="10" fontId="11" fillId="3" borderId="4" xfId="50" applyNumberFormat="1" applyFont="1" applyFill="1" applyBorder="1" applyAlignment="1" applyProtection="1">
      <alignment horizontal="center" vertical="center"/>
      <protection hidden="1"/>
    </xf>
    <xf numFmtId="168" fontId="11" fillId="3" borderId="4" xfId="41" applyNumberFormat="1" applyFont="1" applyFill="1" applyBorder="1" applyAlignment="1" applyProtection="1">
      <alignment vertical="top" wrapText="1"/>
      <protection hidden="1"/>
    </xf>
    <xf numFmtId="0" fontId="11" fillId="3" borderId="4" xfId="41" applyNumberFormat="1" applyFont="1" applyFill="1" applyBorder="1" applyAlignment="1" applyProtection="1">
      <alignment horizontal="center"/>
      <protection hidden="1"/>
    </xf>
    <xf numFmtId="0" fontId="20" fillId="0" borderId="0" xfId="47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3" borderId="4" xfId="41" applyFont="1" applyFill="1" applyBorder="1" applyAlignment="1" applyProtection="1">
      <alignment horizontal="center" vertical="center"/>
      <protection hidden="1"/>
    </xf>
    <xf numFmtId="0" fontId="20" fillId="0" borderId="0" xfId="47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center" vertical="center"/>
    </xf>
    <xf numFmtId="2" fontId="20" fillId="0" borderId="0" xfId="47" applyNumberFormat="1" applyFont="1" applyBorder="1" applyAlignment="1">
      <alignment horizontal="center" vertical="center"/>
    </xf>
    <xf numFmtId="10" fontId="11" fillId="3" borderId="4" xfId="49" applyNumberFormat="1" applyFont="1" applyFill="1" applyBorder="1" applyAlignment="1" applyProtection="1">
      <alignment horizontal="center"/>
      <protection hidden="1"/>
    </xf>
    <xf numFmtId="0" fontId="13" fillId="0" borderId="0" xfId="15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3" fillId="0" borderId="0" xfId="14" applyFont="1" applyBorder="1" applyAlignment="1" applyProtection="1">
      <alignment horizontal="center" wrapText="1"/>
      <protection hidden="1"/>
    </xf>
    <xf numFmtId="0" fontId="23" fillId="0" borderId="0" xfId="15" applyFont="1" applyFill="1" applyBorder="1" applyProtection="1">
      <protection hidden="1"/>
    </xf>
    <xf numFmtId="0" fontId="0" fillId="8" borderId="0" xfId="0" applyFill="1" applyProtection="1">
      <protection hidden="1"/>
    </xf>
    <xf numFmtId="0" fontId="19" fillId="8" borderId="0" xfId="0" applyFont="1" applyFill="1" applyProtection="1">
      <protection hidden="1"/>
    </xf>
    <xf numFmtId="0" fontId="0" fillId="8" borderId="0" xfId="0" applyFill="1"/>
    <xf numFmtId="0" fontId="12" fillId="8" borderId="0" xfId="41" applyFont="1" applyFill="1" applyBorder="1" applyAlignment="1" applyProtection="1">
      <alignment vertical="center"/>
      <protection hidden="1"/>
    </xf>
    <xf numFmtId="14" fontId="14" fillId="8" borderId="0" xfId="14" applyNumberFormat="1" applyFont="1" applyFill="1" applyBorder="1" applyProtection="1">
      <protection hidden="1"/>
    </xf>
    <xf numFmtId="0" fontId="11" fillId="8" borderId="0" xfId="41" applyFont="1" applyFill="1" applyProtection="1">
      <protection hidden="1"/>
    </xf>
    <xf numFmtId="0" fontId="11" fillId="0" borderId="0" xfId="14" applyFont="1" applyFill="1" applyBorder="1" applyProtection="1">
      <protection hidden="1"/>
    </xf>
    <xf numFmtId="14" fontId="11" fillId="0" borderId="0" xfId="14" applyNumberFormat="1" applyFont="1" applyFill="1" applyBorder="1" applyProtection="1">
      <protection hidden="1"/>
    </xf>
    <xf numFmtId="4" fontId="11" fillId="0" borderId="0" xfId="14" applyNumberFormat="1" applyFont="1" applyFill="1" applyBorder="1" applyProtection="1">
      <protection hidden="1"/>
    </xf>
    <xf numFmtId="0" fontId="11" fillId="3" borderId="10" xfId="41" applyFont="1" applyFill="1" applyBorder="1" applyAlignment="1" applyProtection="1">
      <alignment horizontal="right" vertical="center"/>
      <protection hidden="1"/>
    </xf>
    <xf numFmtId="0" fontId="11" fillId="3" borderId="1" xfId="14" applyFont="1" applyFill="1" applyBorder="1" applyAlignment="1" applyProtection="1">
      <alignment horizontal="center" vertical="center" wrapText="1"/>
      <protection hidden="1"/>
    </xf>
    <xf numFmtId="0" fontId="16" fillId="3" borderId="2" xfId="14" applyFont="1" applyFill="1" applyBorder="1" applyAlignment="1" applyProtection="1">
      <alignment horizontal="center" vertical="center" wrapText="1"/>
      <protection hidden="1"/>
    </xf>
    <xf numFmtId="0" fontId="16" fillId="3" borderId="1" xfId="14" applyFont="1" applyFill="1" applyBorder="1" applyAlignment="1" applyProtection="1">
      <alignment horizontal="center" vertical="center" wrapText="1"/>
      <protection hidden="1"/>
    </xf>
    <xf numFmtId="4" fontId="11" fillId="5" borderId="1" xfId="14" applyNumberFormat="1" applyFont="1" applyFill="1" applyBorder="1" applyProtection="1">
      <protection hidden="1"/>
    </xf>
    <xf numFmtId="14" fontId="11" fillId="5" borderId="1" xfId="14" applyNumberFormat="1" applyFont="1" applyFill="1" applyBorder="1" applyProtection="1">
      <protection hidden="1"/>
    </xf>
    <xf numFmtId="4" fontId="11" fillId="5" borderId="1" xfId="76" applyNumberFormat="1" applyFont="1" applyFill="1" applyBorder="1" applyProtection="1">
      <protection hidden="1"/>
    </xf>
    <xf numFmtId="2" fontId="0" fillId="8" borderId="0" xfId="0" applyNumberFormat="1" applyFill="1" applyProtection="1">
      <protection hidden="1"/>
    </xf>
    <xf numFmtId="168" fontId="17" fillId="3" borderId="10" xfId="41" applyNumberFormat="1" applyFont="1" applyFill="1" applyBorder="1" applyAlignment="1" applyProtection="1">
      <alignment horizontal="center" vertical="center"/>
      <protection hidden="1"/>
    </xf>
    <xf numFmtId="0" fontId="15" fillId="8" borderId="0" xfId="0" applyFont="1" applyFill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17" fillId="2" borderId="11" xfId="19" applyNumberFormat="1" applyFont="1" applyFill="1" applyBorder="1" applyAlignment="1">
      <alignment horizontal="center" vertical="center"/>
    </xf>
    <xf numFmtId="0" fontId="11" fillId="9" borderId="13" xfId="19" applyNumberFormat="1" applyFont="1" applyFill="1" applyBorder="1" applyAlignment="1">
      <alignment horizontal="center" vertical="center"/>
    </xf>
    <xf numFmtId="10" fontId="20" fillId="9" borderId="13" xfId="50" applyNumberFormat="1" applyFont="1" applyFill="1" applyBorder="1" applyAlignment="1">
      <alignment horizontal="center" vertical="center"/>
    </xf>
    <xf numFmtId="10" fontId="20" fillId="9" borderId="14" xfId="50" applyNumberFormat="1" applyFont="1" applyFill="1" applyBorder="1" applyAlignment="1">
      <alignment horizontal="center" vertical="center"/>
    </xf>
    <xf numFmtId="10" fontId="11" fillId="9" borderId="14" xfId="51" applyNumberFormat="1" applyFont="1" applyFill="1" applyBorder="1" applyAlignment="1">
      <alignment horizontal="center" vertical="center"/>
    </xf>
    <xf numFmtId="10" fontId="11" fillId="9" borderId="15" xfId="51" applyNumberFormat="1" applyFont="1" applyFill="1" applyBorder="1" applyAlignment="1">
      <alignment horizontal="center" vertical="center"/>
    </xf>
    <xf numFmtId="4" fontId="11" fillId="9" borderId="16" xfId="77" applyNumberFormat="1" applyFont="1" applyFill="1" applyBorder="1" applyAlignment="1">
      <alignment horizontal="center" vertical="center"/>
    </xf>
    <xf numFmtId="4" fontId="11" fillId="9" borderId="12" xfId="77" applyNumberFormat="1" applyFont="1" applyFill="1" applyBorder="1" applyAlignment="1">
      <alignment horizontal="center" vertical="center"/>
    </xf>
    <xf numFmtId="2" fontId="11" fillId="9" borderId="17" xfId="19" applyNumberFormat="1" applyFont="1" applyFill="1" applyBorder="1" applyAlignment="1">
      <alignment horizontal="center" vertical="center"/>
    </xf>
    <xf numFmtId="0" fontId="20" fillId="9" borderId="16" xfId="47" applyFont="1" applyFill="1" applyBorder="1" applyAlignment="1">
      <alignment horizontal="center" vertical="center"/>
    </xf>
    <xf numFmtId="0" fontId="20" fillId="9" borderId="12" xfId="47" applyFont="1" applyFill="1" applyBorder="1" applyAlignment="1">
      <alignment horizontal="center" vertical="center"/>
    </xf>
    <xf numFmtId="0" fontId="11" fillId="9" borderId="17" xfId="19" applyNumberFormat="1" applyFont="1" applyFill="1" applyBorder="1" applyAlignment="1">
      <alignment horizontal="right" vertical="center" indent="1"/>
    </xf>
    <xf numFmtId="10" fontId="22" fillId="9" borderId="12" xfId="19" applyNumberFormat="1" applyFont="1" applyFill="1" applyBorder="1" applyAlignment="1">
      <alignment horizontal="center" vertical="center"/>
    </xf>
    <xf numFmtId="0" fontId="20" fillId="9" borderId="13" xfId="47" applyFont="1" applyFill="1" applyBorder="1" applyAlignment="1">
      <alignment horizontal="center" vertical="center"/>
    </xf>
    <xf numFmtId="10" fontId="11" fillId="9" borderId="17" xfId="19" applyNumberFormat="1" applyFont="1" applyFill="1" applyBorder="1" applyAlignment="1">
      <alignment horizontal="center" vertical="center"/>
    </xf>
    <xf numFmtId="10" fontId="11" fillId="9" borderId="18" xfId="19" applyNumberFormat="1" applyFont="1" applyFill="1" applyBorder="1" applyAlignment="1">
      <alignment horizontal="center" vertical="center"/>
    </xf>
    <xf numFmtId="10" fontId="17" fillId="9" borderId="17" xfId="19" applyNumberFormat="1" applyFont="1" applyFill="1" applyBorder="1" applyAlignment="1">
      <alignment horizontal="center" vertical="center"/>
    </xf>
    <xf numFmtId="0" fontId="27" fillId="4" borderId="19" xfId="47" applyFont="1" applyFill="1" applyBorder="1" applyAlignment="1">
      <alignment horizontal="center" vertical="center"/>
    </xf>
    <xf numFmtId="49" fontId="17" fillId="2" borderId="20" xfId="19" applyNumberFormat="1" applyFont="1" applyFill="1" applyBorder="1" applyAlignment="1">
      <alignment horizontal="center" vertical="center" wrapText="1"/>
    </xf>
    <xf numFmtId="49" fontId="17" fillId="2" borderId="21" xfId="19" applyNumberFormat="1" applyFont="1" applyFill="1" applyBorder="1" applyAlignment="1">
      <alignment horizontal="center" vertical="center" wrapText="1"/>
    </xf>
    <xf numFmtId="0" fontId="17" fillId="2" borderId="22" xfId="19" applyFont="1" applyFill="1" applyBorder="1" applyAlignment="1">
      <alignment horizontal="center" vertical="center" wrapText="1"/>
    </xf>
    <xf numFmtId="49" fontId="17" fillId="2" borderId="23" xfId="19" applyNumberFormat="1" applyFont="1" applyFill="1" applyBorder="1" applyAlignment="1">
      <alignment horizontal="center" vertical="center" wrapText="1"/>
    </xf>
    <xf numFmtId="49" fontId="17" fillId="2" borderId="24" xfId="19" applyNumberFormat="1" applyFont="1" applyFill="1" applyBorder="1" applyAlignment="1">
      <alignment horizontal="center" vertical="center" wrapText="1"/>
    </xf>
    <xf numFmtId="49" fontId="17" fillId="2" borderId="25" xfId="19" applyNumberFormat="1" applyFont="1" applyFill="1" applyBorder="1" applyAlignment="1">
      <alignment horizontal="center" vertical="center" wrapText="1"/>
    </xf>
    <xf numFmtId="2" fontId="17" fillId="2" borderId="26" xfId="19" applyNumberFormat="1" applyFont="1" applyFill="1" applyBorder="1" applyAlignment="1">
      <alignment horizontal="center" vertical="center" wrapText="1"/>
    </xf>
    <xf numFmtId="49" fontId="17" fillId="2" borderId="26" xfId="19" applyNumberFormat="1" applyFont="1" applyFill="1" applyBorder="1" applyAlignment="1">
      <alignment horizontal="center" vertical="center" wrapText="1"/>
    </xf>
    <xf numFmtId="0" fontId="21" fillId="6" borderId="21" xfId="19" applyFont="1" applyFill="1" applyBorder="1" applyAlignment="1">
      <alignment horizontal="center" vertical="center" wrapText="1"/>
    </xf>
    <xf numFmtId="0" fontId="17" fillId="2" borderId="22" xfId="47" applyFont="1" applyFill="1" applyBorder="1" applyAlignment="1">
      <alignment horizontal="center" vertical="center" wrapText="1"/>
    </xf>
    <xf numFmtId="0" fontId="17" fillId="2" borderId="21" xfId="47" applyFont="1" applyFill="1" applyBorder="1" applyAlignment="1">
      <alignment horizontal="center" vertical="center" wrapText="1"/>
    </xf>
    <xf numFmtId="0" fontId="17" fillId="2" borderId="26" xfId="19" applyFont="1" applyFill="1" applyBorder="1" applyAlignment="1">
      <alignment horizontal="center" vertical="center" wrapText="1"/>
    </xf>
    <xf numFmtId="0" fontId="17" fillId="2" borderId="25" xfId="19" applyFont="1" applyFill="1" applyBorder="1" applyAlignment="1">
      <alignment horizontal="center" vertical="center" wrapText="1"/>
    </xf>
    <xf numFmtId="0" fontId="17" fillId="2" borderId="21" xfId="19" applyFont="1" applyFill="1" applyBorder="1" applyAlignment="1">
      <alignment horizontal="center" vertical="center" wrapText="1"/>
    </xf>
    <xf numFmtId="0" fontId="17" fillId="2" borderId="27" xfId="19" applyFont="1" applyFill="1" applyBorder="1" applyAlignment="1">
      <alignment horizontal="center" vertical="center" wrapText="1"/>
    </xf>
    <xf numFmtId="0" fontId="17" fillId="2" borderId="28" xfId="19" applyFont="1" applyFill="1" applyBorder="1" applyAlignment="1">
      <alignment horizontal="center" vertical="center" wrapText="1"/>
    </xf>
    <xf numFmtId="4" fontId="28" fillId="10" borderId="0" xfId="47" applyNumberFormat="1" applyFont="1" applyFill="1" applyBorder="1" applyAlignment="1">
      <alignment horizontal="center" vertical="center" wrapText="1"/>
    </xf>
    <xf numFmtId="10" fontId="27" fillId="4" borderId="19" xfId="49" applyNumberFormat="1" applyFont="1" applyFill="1" applyBorder="1" applyAlignment="1">
      <alignment horizontal="center" vertical="center"/>
    </xf>
    <xf numFmtId="2" fontId="27" fillId="4" borderId="19" xfId="47" applyNumberFormat="1" applyFont="1" applyFill="1" applyBorder="1" applyAlignment="1">
      <alignment horizontal="center" vertical="center"/>
    </xf>
    <xf numFmtId="10" fontId="27" fillId="4" borderId="19" xfId="47" applyNumberFormat="1" applyFont="1" applyFill="1" applyBorder="1" applyAlignment="1">
      <alignment horizontal="center" vertical="center"/>
    </xf>
    <xf numFmtId="4" fontId="27" fillId="4" borderId="19" xfId="47" applyNumberFormat="1" applyFont="1" applyFill="1" applyBorder="1" applyAlignment="1">
      <alignment horizontal="center" vertical="center"/>
    </xf>
    <xf numFmtId="10" fontId="19" fillId="8" borderId="0" xfId="49" applyNumberFormat="1" applyFont="1" applyFill="1" applyProtection="1">
      <protection hidden="1"/>
    </xf>
    <xf numFmtId="2" fontId="0" fillId="0" borderId="0" xfId="0" applyNumberFormat="1"/>
    <xf numFmtId="0" fontId="17" fillId="9" borderId="12" xfId="19" applyNumberFormat="1" applyFont="1" applyFill="1" applyBorder="1" applyAlignment="1">
      <alignment horizontal="left" vertical="center" indent="1"/>
    </xf>
    <xf numFmtId="10" fontId="26" fillId="0" borderId="1" xfId="0" applyNumberFormat="1" applyFont="1" applyBorder="1" applyAlignment="1">
      <alignment horizontal="center" vertical="center"/>
    </xf>
    <xf numFmtId="10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1" fontId="17" fillId="0" borderId="1" xfId="0" applyNumberFormat="1" applyFont="1" applyBorder="1"/>
    <xf numFmtId="0" fontId="1" fillId="0" borderId="0" xfId="0" quotePrefix="1" applyFont="1"/>
    <xf numFmtId="1" fontId="11" fillId="3" borderId="4" xfId="41" applyNumberFormat="1" applyFont="1" applyFill="1" applyBorder="1" applyAlignment="1" applyProtection="1">
      <alignment horizontal="center" vertical="center"/>
      <protection hidden="1"/>
    </xf>
    <xf numFmtId="10" fontId="17" fillId="0" borderId="1" xfId="49" applyNumberFormat="1" applyFont="1" applyBorder="1"/>
    <xf numFmtId="10" fontId="0" fillId="0" borderId="0" xfId="49" applyNumberFormat="1" applyFont="1"/>
    <xf numFmtId="1" fontId="11" fillId="0" borderId="4" xfId="41" applyNumberFormat="1" applyFont="1" applyFill="1" applyBorder="1" applyAlignment="1" applyProtection="1">
      <alignment horizontal="center" vertical="center"/>
      <protection locked="0" hidden="1"/>
    </xf>
    <xf numFmtId="168" fontId="11" fillId="0" borderId="4" xfId="41" applyNumberFormat="1" applyFont="1" applyFill="1" applyBorder="1" applyAlignment="1" applyProtection="1">
      <alignment horizontal="center" wrapText="1"/>
      <protection locked="0" hidden="1"/>
    </xf>
    <xf numFmtId="10" fontId="19" fillId="0" borderId="0" xfId="49" applyNumberFormat="1" applyFont="1" applyFill="1" applyProtection="1">
      <protection hidden="1"/>
    </xf>
    <xf numFmtId="0" fontId="0" fillId="0" borderId="0" xfId="0" applyFill="1"/>
    <xf numFmtId="0" fontId="15" fillId="0" borderId="0" xfId="0" applyFont="1" applyFill="1" applyProtection="1">
      <protection hidden="1"/>
    </xf>
    <xf numFmtId="0" fontId="19" fillId="0" borderId="0" xfId="0" applyFont="1" applyFill="1" applyProtection="1">
      <protection hidden="1"/>
    </xf>
    <xf numFmtId="0" fontId="13" fillId="0" borderId="0" xfId="14" applyFont="1" applyFill="1"/>
    <xf numFmtId="0" fontId="0" fillId="0" borderId="0" xfId="0" applyFill="1" applyProtection="1">
      <protection hidden="1"/>
    </xf>
    <xf numFmtId="0" fontId="13" fillId="0" borderId="0" xfId="14" applyFont="1" applyFill="1" applyProtection="1">
      <protection hidden="1"/>
    </xf>
    <xf numFmtId="0" fontId="25" fillId="7" borderId="2" xfId="0" applyFont="1" applyFill="1" applyBorder="1" applyAlignment="1">
      <alignment horizontal="center" vertical="center" wrapText="1"/>
    </xf>
    <xf numFmtId="0" fontId="25" fillId="7" borderId="3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9" fillId="3" borderId="0" xfId="41" applyFont="1" applyFill="1" applyBorder="1" applyAlignment="1" applyProtection="1">
      <alignment horizontal="center" vertical="center"/>
      <protection hidden="1"/>
    </xf>
    <xf numFmtId="0" fontId="24" fillId="2" borderId="0" xfId="41" applyFont="1" applyFill="1" applyBorder="1" applyAlignment="1" applyProtection="1">
      <alignment horizontal="center" vertical="center" wrapText="1"/>
      <protection hidden="1"/>
    </xf>
    <xf numFmtId="0" fontId="4" fillId="3" borderId="7" xfId="41" applyFont="1" applyFill="1" applyBorder="1" applyAlignment="1" applyProtection="1">
      <alignment horizontal="center" vertical="center"/>
      <protection hidden="1"/>
    </xf>
    <xf numFmtId="0" fontId="4" fillId="3" borderId="6" xfId="41" applyFont="1" applyFill="1" applyBorder="1" applyAlignment="1" applyProtection="1">
      <alignment horizontal="center" vertical="center"/>
      <protection hidden="1"/>
    </xf>
    <xf numFmtId="0" fontId="17" fillId="3" borderId="7" xfId="41" applyFont="1" applyFill="1" applyBorder="1" applyAlignment="1" applyProtection="1">
      <alignment horizontal="left" vertical="center" indent="1"/>
      <protection hidden="1"/>
    </xf>
    <xf numFmtId="0" fontId="17" fillId="3" borderId="6" xfId="41" applyFont="1" applyFill="1" applyBorder="1" applyAlignment="1" applyProtection="1">
      <alignment horizontal="left" vertical="center" indent="1"/>
      <protection hidden="1"/>
    </xf>
    <xf numFmtId="0" fontId="11" fillId="3" borderId="7" xfId="41" applyFont="1" applyFill="1" applyBorder="1" applyAlignment="1" applyProtection="1">
      <alignment horizontal="left" vertical="center" indent="1"/>
      <protection hidden="1"/>
    </xf>
    <xf numFmtId="0" fontId="11" fillId="3" borderId="6" xfId="41" applyFont="1" applyFill="1" applyBorder="1" applyAlignment="1" applyProtection="1">
      <alignment horizontal="left" vertical="center" indent="1"/>
      <protection hidden="1"/>
    </xf>
    <xf numFmtId="2" fontId="17" fillId="0" borderId="5" xfId="41" applyNumberFormat="1" applyFont="1" applyFill="1" applyBorder="1" applyAlignment="1" applyProtection="1">
      <alignment horizontal="center" vertical="center"/>
      <protection locked="0" hidden="1"/>
    </xf>
    <xf numFmtId="0" fontId="17" fillId="3" borderId="8" xfId="41" applyFont="1" applyFill="1" applyBorder="1" applyAlignment="1" applyProtection="1">
      <alignment horizontal="left" vertical="center" indent="1"/>
      <protection hidden="1"/>
    </xf>
    <xf numFmtId="0" fontId="17" fillId="3" borderId="9" xfId="41" applyFont="1" applyFill="1" applyBorder="1" applyAlignment="1" applyProtection="1">
      <alignment horizontal="left" vertical="center" indent="1"/>
      <protection hidden="1"/>
    </xf>
    <xf numFmtId="4" fontId="0" fillId="8" borderId="0" xfId="0" applyNumberFormat="1" applyFill="1" applyProtection="1">
      <protection hidden="1"/>
    </xf>
  </cellXfs>
  <cellStyles count="104">
    <cellStyle name="Comma 2" xfId="1" xr:uid="{00000000-0005-0000-0000-000000000000}"/>
    <cellStyle name="Comma 2 2" xfId="2" xr:uid="{00000000-0005-0000-0000-000001000000}"/>
    <cellStyle name="Normal 2" xfId="3" xr:uid="{00000000-0005-0000-0000-000002000000}"/>
    <cellStyle name="Normal 2 2" xfId="4" xr:uid="{00000000-0005-0000-0000-000003000000}"/>
    <cellStyle name="Percent 2" xfId="5" xr:uid="{00000000-0005-0000-0000-000004000000}"/>
    <cellStyle name="Percent 2 2" xfId="6" xr:uid="{00000000-0005-0000-0000-000005000000}"/>
    <cellStyle name="Відсотковий" xfId="49" builtinId="5"/>
    <cellStyle name="Денежный 2" xfId="7" xr:uid="{00000000-0005-0000-0000-000007000000}"/>
    <cellStyle name="Денежный 2 2" xfId="8" xr:uid="{00000000-0005-0000-0000-000008000000}"/>
    <cellStyle name="Денежный 2 2 2" xfId="9" xr:uid="{00000000-0005-0000-0000-000009000000}"/>
    <cellStyle name="Денежный 2 3" xfId="10" xr:uid="{00000000-0005-0000-0000-00000A000000}"/>
    <cellStyle name="Звичайний" xfId="0" builtinId="0"/>
    <cellStyle name="Обычный 17" xfId="11" xr:uid="{00000000-0005-0000-0000-00000C000000}"/>
    <cellStyle name="Обычный 17 2" xfId="12" xr:uid="{00000000-0005-0000-0000-00000D000000}"/>
    <cellStyle name="Обычный 2" xfId="13" xr:uid="{00000000-0005-0000-0000-00000E000000}"/>
    <cellStyle name="Обычный 2 2" xfId="14" xr:uid="{00000000-0005-0000-0000-00000F000000}"/>
    <cellStyle name="Обычный 2 2 2" xfId="15" xr:uid="{00000000-0005-0000-0000-000010000000}"/>
    <cellStyle name="Обычный 3" xfId="16" xr:uid="{00000000-0005-0000-0000-000011000000}"/>
    <cellStyle name="Обычный 3 2" xfId="17" xr:uid="{00000000-0005-0000-0000-000012000000}"/>
    <cellStyle name="Обычный 4" xfId="18" xr:uid="{00000000-0005-0000-0000-000013000000}"/>
    <cellStyle name="Обычный 4 2" xfId="19" xr:uid="{00000000-0005-0000-0000-000014000000}"/>
    <cellStyle name="Обычный 4 3" xfId="20" xr:uid="{00000000-0005-0000-0000-000015000000}"/>
    <cellStyle name="Обычный 4 3 2" xfId="21" xr:uid="{00000000-0005-0000-0000-000016000000}"/>
    <cellStyle name="Обычный 4 3 2 2" xfId="22" xr:uid="{00000000-0005-0000-0000-000017000000}"/>
    <cellStyle name="Обычный 4 3 3" xfId="23" xr:uid="{00000000-0005-0000-0000-000018000000}"/>
    <cellStyle name="Обычный 4 3 3 2" xfId="24" xr:uid="{00000000-0005-0000-0000-000019000000}"/>
    <cellStyle name="Обычный 4 3 4" xfId="25" xr:uid="{00000000-0005-0000-0000-00001A000000}"/>
    <cellStyle name="Обычный 4 3 4 2" xfId="26" xr:uid="{00000000-0005-0000-0000-00001B000000}"/>
    <cellStyle name="Обычный 4 3 5" xfId="27" xr:uid="{00000000-0005-0000-0000-00001C000000}"/>
    <cellStyle name="Обычный 4 3 5 2" xfId="28" xr:uid="{00000000-0005-0000-0000-00001D000000}"/>
    <cellStyle name="Обычный 4 3 6" xfId="29" xr:uid="{00000000-0005-0000-0000-00001E000000}"/>
    <cellStyle name="Обычный 4 4" xfId="30" xr:uid="{00000000-0005-0000-0000-00001F000000}"/>
    <cellStyle name="Обычный 4 4 2" xfId="31" xr:uid="{00000000-0005-0000-0000-000020000000}"/>
    <cellStyle name="Обычный 4 5" xfId="32" xr:uid="{00000000-0005-0000-0000-000021000000}"/>
    <cellStyle name="Обычный 4 5 2" xfId="33" xr:uid="{00000000-0005-0000-0000-000022000000}"/>
    <cellStyle name="Обычный 4 6" xfId="34" xr:uid="{00000000-0005-0000-0000-000023000000}"/>
    <cellStyle name="Обычный 4 6 2" xfId="35" xr:uid="{00000000-0005-0000-0000-000024000000}"/>
    <cellStyle name="Обычный 4 7" xfId="36" xr:uid="{00000000-0005-0000-0000-000025000000}"/>
    <cellStyle name="Обычный 4 7 2" xfId="37" xr:uid="{00000000-0005-0000-0000-000026000000}"/>
    <cellStyle name="Обычный 4 8" xfId="38" xr:uid="{00000000-0005-0000-0000-000027000000}"/>
    <cellStyle name="Обычный 5" xfId="39" xr:uid="{00000000-0005-0000-0000-000028000000}"/>
    <cellStyle name="Обычный 5 2" xfId="40" xr:uid="{00000000-0005-0000-0000-000029000000}"/>
    <cellStyle name="Обычный 6" xfId="41" xr:uid="{00000000-0005-0000-0000-00002A000000}"/>
    <cellStyle name="Обычный 7" xfId="42" xr:uid="{00000000-0005-0000-0000-00002B000000}"/>
    <cellStyle name="Обычный 8" xfId="43" xr:uid="{00000000-0005-0000-0000-00002C000000}"/>
    <cellStyle name="Обычный 8 2" xfId="44" xr:uid="{00000000-0005-0000-0000-00002D000000}"/>
    <cellStyle name="Обычный 8 2 2" xfId="45" xr:uid="{00000000-0005-0000-0000-00002E000000}"/>
    <cellStyle name="Обычный 8 3" xfId="46" xr:uid="{00000000-0005-0000-0000-00002F000000}"/>
    <cellStyle name="Обычный 9" xfId="47" xr:uid="{00000000-0005-0000-0000-000030000000}"/>
    <cellStyle name="Обычный 9 2" xfId="48" xr:uid="{00000000-0005-0000-0000-000031000000}"/>
    <cellStyle name="Процентный 2" xfId="50" xr:uid="{00000000-0005-0000-0000-000032000000}"/>
    <cellStyle name="Процентный 2 2" xfId="51" xr:uid="{00000000-0005-0000-0000-000033000000}"/>
    <cellStyle name="Процентный 3" xfId="52" xr:uid="{00000000-0005-0000-0000-000034000000}"/>
    <cellStyle name="Процентный 3 2" xfId="53" xr:uid="{00000000-0005-0000-0000-000035000000}"/>
    <cellStyle name="Процентный 3 2 2" xfId="54" xr:uid="{00000000-0005-0000-0000-000036000000}"/>
    <cellStyle name="Процентный 3 2 2 2" xfId="55" xr:uid="{00000000-0005-0000-0000-000037000000}"/>
    <cellStyle name="Процентный 3 2 3" xfId="56" xr:uid="{00000000-0005-0000-0000-000038000000}"/>
    <cellStyle name="Процентный 3 2 3 2" xfId="57" xr:uid="{00000000-0005-0000-0000-000039000000}"/>
    <cellStyle name="Процентный 3 2 4" xfId="58" xr:uid="{00000000-0005-0000-0000-00003A000000}"/>
    <cellStyle name="Процентный 3 2 4 2" xfId="59" xr:uid="{00000000-0005-0000-0000-00003B000000}"/>
    <cellStyle name="Процентный 3 2 5" xfId="60" xr:uid="{00000000-0005-0000-0000-00003C000000}"/>
    <cellStyle name="Процентный 3 2 5 2" xfId="61" xr:uid="{00000000-0005-0000-0000-00003D000000}"/>
    <cellStyle name="Процентный 3 2 6" xfId="62" xr:uid="{00000000-0005-0000-0000-00003E000000}"/>
    <cellStyle name="Процентный 3 3" xfId="63" xr:uid="{00000000-0005-0000-0000-00003F000000}"/>
    <cellStyle name="Процентный 3 3 2" xfId="64" xr:uid="{00000000-0005-0000-0000-000040000000}"/>
    <cellStyle name="Процентный 3 4" xfId="65" xr:uid="{00000000-0005-0000-0000-000041000000}"/>
    <cellStyle name="Процентный 3 4 2" xfId="66" xr:uid="{00000000-0005-0000-0000-000042000000}"/>
    <cellStyle name="Процентный 3 5" xfId="67" xr:uid="{00000000-0005-0000-0000-000043000000}"/>
    <cellStyle name="Процентный 3 5 2" xfId="68" xr:uid="{00000000-0005-0000-0000-000044000000}"/>
    <cellStyle name="Процентный 3 6" xfId="69" xr:uid="{00000000-0005-0000-0000-000045000000}"/>
    <cellStyle name="Процентный 3 6 2" xfId="70" xr:uid="{00000000-0005-0000-0000-000046000000}"/>
    <cellStyle name="Процентный 3 7" xfId="71" xr:uid="{00000000-0005-0000-0000-000047000000}"/>
    <cellStyle name="Процентный 4" xfId="72" xr:uid="{00000000-0005-0000-0000-000048000000}"/>
    <cellStyle name="Процентный 4 2" xfId="73" xr:uid="{00000000-0005-0000-0000-000049000000}"/>
    <cellStyle name="Процентный 4 2 2" xfId="74" xr:uid="{00000000-0005-0000-0000-00004A000000}"/>
    <cellStyle name="Процентный 4 3" xfId="75" xr:uid="{00000000-0005-0000-0000-00004B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3 2" xfId="79" xr:uid="{00000000-0005-0000-0000-00004F000000}"/>
    <cellStyle name="Финансовый 3 2 2" xfId="80" xr:uid="{00000000-0005-0000-0000-000050000000}"/>
    <cellStyle name="Финансовый 3 2 2 2" xfId="81" xr:uid="{00000000-0005-0000-0000-000051000000}"/>
    <cellStyle name="Финансовый 3 2 3" xfId="82" xr:uid="{00000000-0005-0000-0000-000052000000}"/>
    <cellStyle name="Финансовый 3 2 3 2" xfId="83" xr:uid="{00000000-0005-0000-0000-000053000000}"/>
    <cellStyle name="Финансовый 3 2 4" xfId="84" xr:uid="{00000000-0005-0000-0000-000054000000}"/>
    <cellStyle name="Финансовый 3 2 4 2" xfId="85" xr:uid="{00000000-0005-0000-0000-000055000000}"/>
    <cellStyle name="Финансовый 3 2 5" xfId="86" xr:uid="{00000000-0005-0000-0000-000056000000}"/>
    <cellStyle name="Финансовый 3 2 5 2" xfId="87" xr:uid="{00000000-0005-0000-0000-000057000000}"/>
    <cellStyle name="Финансовый 3 2 6" xfId="88" xr:uid="{00000000-0005-0000-0000-000058000000}"/>
    <cellStyle name="Финансовый 3 3" xfId="89" xr:uid="{00000000-0005-0000-0000-000059000000}"/>
    <cellStyle name="Финансовый 3 3 2" xfId="90" xr:uid="{00000000-0005-0000-0000-00005A000000}"/>
    <cellStyle name="Финансовый 3 4" xfId="91" xr:uid="{00000000-0005-0000-0000-00005B000000}"/>
    <cellStyle name="Финансовый 3 4 2" xfId="92" xr:uid="{00000000-0005-0000-0000-00005C000000}"/>
    <cellStyle name="Финансовый 3 5" xfId="93" xr:uid="{00000000-0005-0000-0000-00005D000000}"/>
    <cellStyle name="Финансовый 3 5 2" xfId="94" xr:uid="{00000000-0005-0000-0000-00005E000000}"/>
    <cellStyle name="Финансовый 3 6" xfId="95" xr:uid="{00000000-0005-0000-0000-00005F000000}"/>
    <cellStyle name="Финансовый 3 6 2" xfId="96" xr:uid="{00000000-0005-0000-0000-000060000000}"/>
    <cellStyle name="Финансовый 3 7" xfId="97" xr:uid="{00000000-0005-0000-0000-000061000000}"/>
    <cellStyle name="Финансовый 4" xfId="98" xr:uid="{00000000-0005-0000-0000-000062000000}"/>
    <cellStyle name="Финансовый 4 2" xfId="99" xr:uid="{00000000-0005-0000-0000-000063000000}"/>
    <cellStyle name="Финансовый 4 2 2" xfId="100" xr:uid="{00000000-0005-0000-0000-000064000000}"/>
    <cellStyle name="Финансовый 4 3" xfId="101" xr:uid="{00000000-0005-0000-0000-000065000000}"/>
    <cellStyle name="Финансовый 8" xfId="102" xr:uid="{00000000-0005-0000-0000-000066000000}"/>
    <cellStyle name="Финансовый 8 2" xfId="103" xr:uid="{00000000-0005-0000-0000-000067000000}"/>
  </cellStyles>
  <dxfs count="8">
    <dxf>
      <font>
        <color theme="0"/>
      </font>
      <fill>
        <patternFill>
          <bgColor rgb="FFFF0000"/>
        </patternFill>
      </fill>
    </dxf>
    <dxf>
      <fill>
        <gradientFill degree="180">
          <stop position="0">
            <color theme="0"/>
          </stop>
          <stop position="1">
            <color theme="6" tint="0.80001220740379042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gradientFill degree="180">
          <stop position="0">
            <color theme="0"/>
          </stop>
          <stop position="1">
            <color theme="6" tint="0.80001220740379042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gradientFill degree="180">
          <stop position="0">
            <color theme="0"/>
          </stop>
          <stop position="1">
            <color theme="6" tint="0.80001220740379042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gradientFill degree="180">
          <stop position="0">
            <color theme="0"/>
          </stop>
          <stop position="1">
            <color theme="6" tint="0.80001220740379042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gradientFill degree="180">
          <stop position="0">
            <color theme="0"/>
          </stop>
          <stop position="1">
            <color theme="6" tint="0.80001220740379042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gradientFill degree="180">
          <stop position="0">
            <color theme="0"/>
          </stop>
          <stop position="1">
            <color theme="6" tint="0.80001220740379042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gradientFill degree="180">
          <stop position="0">
            <color theme="0"/>
          </stop>
          <stop position="1">
            <color theme="6" tint="0.80001220740379042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  <color rgb="FF33CC33"/>
      <color rgb="FFFD370F"/>
      <color rgb="FFD839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34168</xdr:colOff>
      <xdr:row>0</xdr:row>
      <xdr:rowOff>132790</xdr:rowOff>
    </xdr:from>
    <xdr:to>
      <xdr:col>4</xdr:col>
      <xdr:colOff>616955</xdr:colOff>
      <xdr:row>2</xdr:row>
      <xdr:rowOff>110939</xdr:rowOff>
    </xdr:to>
    <xdr:pic>
      <xdr:nvPicPr>
        <xdr:cNvPr id="2074" name="Рисунок 10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543" y="132790"/>
          <a:ext cx="1880908" cy="387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  <pageSetUpPr fitToPage="1"/>
  </sheetPr>
  <dimension ref="A1:W101"/>
  <sheetViews>
    <sheetView showGridLines="0" tabSelected="1" view="pageBreakPreview" zoomScale="85" zoomScaleNormal="98" zoomScaleSheetLayoutView="85" workbookViewId="0">
      <selection activeCell="F8" sqref="F8"/>
    </sheetView>
  </sheetViews>
  <sheetFormatPr defaultRowHeight="13.2"/>
  <cols>
    <col min="1" max="1" width="6.109375" bestFit="1" customWidth="1"/>
    <col min="2" max="2" width="3" style="20" bestFit="1" customWidth="1"/>
    <col min="3" max="3" width="3" customWidth="1"/>
    <col min="4" max="4" width="16.44140625" customWidth="1"/>
    <col min="5" max="5" width="17.109375" customWidth="1"/>
    <col min="6" max="6" width="15.33203125" style="1" customWidth="1"/>
    <col min="7" max="7" width="17.109375" customWidth="1"/>
    <col min="8" max="8" width="13" customWidth="1"/>
    <col min="9" max="9" width="5.109375" customWidth="1"/>
    <col min="10" max="10" width="11.88671875" style="20" bestFit="1" customWidth="1"/>
    <col min="11" max="11" width="9.5546875" bestFit="1" customWidth="1"/>
    <col min="12" max="12" width="28.5546875" customWidth="1"/>
    <col min="13" max="13" width="17.5546875" customWidth="1"/>
    <col min="14" max="14" width="17.33203125" customWidth="1"/>
    <col min="15" max="15" width="22.21875" customWidth="1"/>
    <col min="16" max="17" width="19.109375" customWidth="1"/>
    <col min="18" max="18" width="19.6640625" bestFit="1" customWidth="1"/>
    <col min="19" max="19" width="15.109375" customWidth="1"/>
    <col min="20" max="21" width="9.109375" hidden="1" customWidth="1"/>
    <col min="22" max="23" width="8.88671875" hidden="1" customWidth="1"/>
    <col min="24" max="24" width="8.88671875" customWidth="1"/>
  </cols>
  <sheetData>
    <row r="1" spans="1:20" ht="16.95" customHeight="1">
      <c r="B1" s="18"/>
      <c r="C1" s="18"/>
      <c r="D1" s="23"/>
      <c r="E1" s="23"/>
      <c r="F1" s="103" t="s">
        <v>47</v>
      </c>
      <c r="G1" s="103"/>
      <c r="H1" s="103"/>
      <c r="J1" s="21"/>
      <c r="L1" s="14"/>
      <c r="M1" s="2"/>
    </row>
    <row r="2" spans="1:20" ht="15.75" customHeight="1">
      <c r="B2" s="18"/>
      <c r="C2" s="18"/>
      <c r="D2" s="21"/>
      <c r="E2" s="21"/>
      <c r="F2" s="103"/>
      <c r="G2" s="103"/>
      <c r="H2" s="103"/>
      <c r="J2" s="21"/>
      <c r="L2" s="15"/>
    </row>
    <row r="3" spans="1:20" ht="18.75" customHeight="1">
      <c r="B3" s="18"/>
      <c r="C3" s="18"/>
      <c r="D3" s="21"/>
      <c r="E3" s="21"/>
      <c r="F3" s="103"/>
      <c r="G3" s="103"/>
      <c r="H3" s="103"/>
      <c r="J3" s="21"/>
      <c r="L3" s="37" t="s">
        <v>15</v>
      </c>
    </row>
    <row r="4" spans="1:20" ht="6" customHeight="1">
      <c r="B4" s="18"/>
      <c r="C4" s="18"/>
      <c r="D4" s="21"/>
      <c r="E4" s="21"/>
      <c r="F4" s="21"/>
      <c r="G4" s="21"/>
      <c r="H4" s="21"/>
      <c r="I4" s="21"/>
      <c r="J4" s="21"/>
      <c r="L4" s="15"/>
    </row>
    <row r="5" spans="1:20" ht="13.95" customHeight="1">
      <c r="B5" s="18"/>
      <c r="C5" s="102" t="s">
        <v>3</v>
      </c>
      <c r="D5" s="102"/>
      <c r="E5" s="102"/>
      <c r="F5" s="102"/>
      <c r="G5" s="102"/>
      <c r="H5" s="22">
        <f ca="1">IF(TODAY()&gt;DATE(YEAR(TODAY()),MONTH(TODAY()),DAY(TODAY())),DATE(YEAR(TODAY()),MONTH(TODAY()),DAY(10)),TODAY())</f>
        <v>45904</v>
      </c>
      <c r="J5" s="18"/>
      <c r="L5" s="101" t="s">
        <v>12</v>
      </c>
      <c r="M5" s="101" t="s">
        <v>46</v>
      </c>
      <c r="N5" s="101" t="s">
        <v>48</v>
      </c>
      <c r="O5" s="101" t="s">
        <v>43</v>
      </c>
      <c r="P5" s="99" t="s">
        <v>49</v>
      </c>
      <c r="Q5" s="99" t="s">
        <v>44</v>
      </c>
      <c r="R5" s="99" t="s">
        <v>14</v>
      </c>
      <c r="S5" s="99" t="s">
        <v>5</v>
      </c>
    </row>
    <row r="6" spans="1:20" ht="13.95" customHeight="1">
      <c r="B6" s="18"/>
      <c r="C6" s="102"/>
      <c r="D6" s="102"/>
      <c r="E6" s="102"/>
      <c r="F6" s="102"/>
      <c r="G6" s="102"/>
      <c r="H6" s="18"/>
      <c r="I6" s="18"/>
      <c r="J6" s="113"/>
      <c r="L6" s="101"/>
      <c r="M6" s="101"/>
      <c r="N6" s="101"/>
      <c r="O6" s="101"/>
      <c r="P6" s="100"/>
      <c r="Q6" s="100"/>
      <c r="R6" s="100"/>
      <c r="S6" s="100"/>
    </row>
    <row r="7" spans="1:20" ht="13.5" customHeight="1">
      <c r="B7" s="19"/>
      <c r="C7" s="104" t="s">
        <v>1</v>
      </c>
      <c r="D7" s="104"/>
      <c r="E7" s="105"/>
      <c r="F7" s="110" t="s">
        <v>52</v>
      </c>
      <c r="G7" s="110"/>
      <c r="H7" s="18"/>
      <c r="I7" s="18"/>
      <c r="J7" s="18"/>
      <c r="L7" s="83" t="s">
        <v>52</v>
      </c>
      <c r="M7" s="82" t="str">
        <f>TEXT(200000,"# ##0")&amp;" - "&amp;TEXT(1900000,"# ##0")</f>
        <v>200 000 - 1 900 000</v>
      </c>
      <c r="N7" s="82" t="str">
        <f>Продукти!N2&amp;" міс."</f>
        <v>36 - 84 міс.</v>
      </c>
      <c r="O7" s="81" t="s">
        <v>53</v>
      </c>
      <c r="P7" s="80">
        <v>0.2999</v>
      </c>
      <c r="Q7" s="81">
        <v>1E-4</v>
      </c>
      <c r="R7" s="80">
        <v>2.9899999999999999E-2</v>
      </c>
      <c r="S7" s="84" t="s">
        <v>13</v>
      </c>
    </row>
    <row r="8" spans="1:20" ht="15" customHeight="1">
      <c r="B8" s="36"/>
      <c r="C8" s="106" t="s">
        <v>45</v>
      </c>
      <c r="D8" s="106"/>
      <c r="E8" s="107"/>
      <c r="F8" s="91">
        <v>1844839.3</v>
      </c>
      <c r="G8" s="9"/>
      <c r="H8" s="18"/>
      <c r="I8" s="18"/>
      <c r="J8" s="18"/>
      <c r="K8" s="78"/>
    </row>
    <row r="9" spans="1:20" ht="13.8">
      <c r="A9" s="93"/>
      <c r="B9" s="95">
        <f>VLOOKUP(F7,Продукти!B:F,2,0)</f>
        <v>2</v>
      </c>
      <c r="C9" s="108" t="s">
        <v>4</v>
      </c>
      <c r="D9" s="108"/>
      <c r="E9" s="109"/>
      <c r="F9" s="90">
        <v>84</v>
      </c>
      <c r="G9" s="6" t="str">
        <f>Продукти!N2</f>
        <v>36 - 84</v>
      </c>
      <c r="H9" s="86"/>
      <c r="J9" s="18"/>
      <c r="L9" s="83" t="s">
        <v>41</v>
      </c>
      <c r="M9" s="85">
        <f ca="1">E18</f>
        <v>51733.61</v>
      </c>
    </row>
    <row r="10" spans="1:20" ht="13.5" customHeight="1">
      <c r="A10" s="93"/>
      <c r="B10" s="95"/>
      <c r="C10" s="108" t="s">
        <v>50</v>
      </c>
      <c r="D10" s="108"/>
      <c r="E10" s="109"/>
      <c r="F10" s="87">
        <f>Продукти!$C$3</f>
        <v>2</v>
      </c>
      <c r="G10" s="6"/>
      <c r="J10" s="18"/>
      <c r="L10" s="83" t="s">
        <v>42</v>
      </c>
      <c r="M10" s="85">
        <f ca="1">G17+G14+G13*Срок_кредиту</f>
        <v>2500575.6696294839</v>
      </c>
    </row>
    <row r="11" spans="1:20" ht="12" customHeight="1">
      <c r="A11" s="93"/>
      <c r="B11" s="94"/>
      <c r="C11" s="108" t="s">
        <v>44</v>
      </c>
      <c r="D11" s="108"/>
      <c r="E11" s="109"/>
      <c r="F11" s="3">
        <f>Продукти!$E$3</f>
        <v>1E-4</v>
      </c>
      <c r="G11" s="13"/>
      <c r="H11" s="18"/>
      <c r="I11" s="18"/>
      <c r="J11" s="18"/>
      <c r="L11" s="83" t="s">
        <v>39</v>
      </c>
      <c r="M11" s="85">
        <f ca="1">F8+M10</f>
        <v>4345414.9696294842</v>
      </c>
    </row>
    <row r="12" spans="1:20" ht="14.25" customHeight="1">
      <c r="A12" s="93"/>
      <c r="B12" s="94"/>
      <c r="C12" s="108" t="s">
        <v>51</v>
      </c>
      <c r="D12" s="108"/>
      <c r="E12" s="109"/>
      <c r="F12" s="3">
        <f>Продукти!$F$3</f>
        <v>0.2999</v>
      </c>
      <c r="G12" s="13"/>
      <c r="H12" s="18"/>
      <c r="I12" s="18"/>
      <c r="J12" s="18"/>
      <c r="L12" s="83" t="s">
        <v>40</v>
      </c>
      <c r="M12" s="88">
        <f ca="1">XIRR($E$17:OFFSET($E$17,Срок_кредиту,0),$D$17:OFFSET($D$17,Срок_кредиту,0))</f>
        <v>0.33413015007972724</v>
      </c>
    </row>
    <row r="13" spans="1:20" ht="13.8">
      <c r="A13" s="93"/>
      <c r="B13" s="94"/>
      <c r="C13" s="108" t="s">
        <v>5</v>
      </c>
      <c r="D13" s="108"/>
      <c r="E13" s="109"/>
      <c r="F13" s="4">
        <f>Продукти!$G$3</f>
        <v>0</v>
      </c>
      <c r="G13" s="5">
        <f>F15*F13</f>
        <v>0</v>
      </c>
      <c r="H13" s="18"/>
      <c r="I13" s="18"/>
      <c r="J13" s="18"/>
    </row>
    <row r="14" spans="1:20" ht="13.8">
      <c r="A14" s="96"/>
      <c r="B14" s="94"/>
      <c r="C14" s="108" t="s">
        <v>6</v>
      </c>
      <c r="D14" s="108"/>
      <c r="E14" s="109"/>
      <c r="F14" s="3">
        <f>Продукти!$H$3</f>
        <v>2.9899999999999999E-2</v>
      </c>
      <c r="G14" s="5">
        <f>F8*F14</f>
        <v>55160.695070000002</v>
      </c>
      <c r="H14" s="34"/>
      <c r="I14" s="18"/>
      <c r="J14" s="18"/>
      <c r="K14" s="16"/>
    </row>
    <row r="15" spans="1:20" ht="13.8">
      <c r="A15" s="96"/>
      <c r="B15" s="97"/>
      <c r="C15" s="111" t="s">
        <v>46</v>
      </c>
      <c r="D15" s="111"/>
      <c r="E15" s="112"/>
      <c r="F15" s="35">
        <f>F8+G14</f>
        <v>1899999.9950699999</v>
      </c>
      <c r="G15" s="27"/>
      <c r="H15" s="18"/>
      <c r="I15" s="18"/>
      <c r="J15" s="18"/>
      <c r="K15" s="17"/>
    </row>
    <row r="16" spans="1:20" ht="30.6" customHeight="1">
      <c r="A16" s="98"/>
      <c r="B16" s="97"/>
      <c r="C16" s="28" t="s">
        <v>0</v>
      </c>
      <c r="D16" s="29" t="s">
        <v>7</v>
      </c>
      <c r="E16" s="30" t="s">
        <v>8</v>
      </c>
      <c r="F16" s="30" t="s">
        <v>9</v>
      </c>
      <c r="G16" s="30" t="s">
        <v>10</v>
      </c>
      <c r="H16" s="30" t="s">
        <v>11</v>
      </c>
      <c r="J16" s="77"/>
      <c r="T16" s="24">
        <f t="shared" ref="T16:T47" si="0">IF($B18&lt;=$F$9,B18,"")</f>
        <v>1</v>
      </c>
    </row>
    <row r="17" spans="1:23" ht="13.8">
      <c r="A17" s="98"/>
      <c r="B17" s="97"/>
      <c r="C17" s="31"/>
      <c r="D17" s="32">
        <f ca="1">H5</f>
        <v>45904</v>
      </c>
      <c r="E17" s="31">
        <f>(-F15)+(F8*F14)</f>
        <v>-1844839.3</v>
      </c>
      <c r="F17" s="31">
        <f ca="1">SUM(F18:F101)</f>
        <v>1899999.9950699946</v>
      </c>
      <c r="G17" s="31">
        <f ca="1">SUM(G18:G101)</f>
        <v>2445414.974559484</v>
      </c>
      <c r="H17" s="33">
        <f>F15</f>
        <v>1899999.9950699999</v>
      </c>
      <c r="J17" s="77"/>
      <c r="T17" s="24">
        <f t="shared" si="0"/>
        <v>2</v>
      </c>
      <c r="U17" s="78">
        <f>IF(T17&gt;$F$9,"",1/(1+J19/12))</f>
        <v>0.99999166673611051</v>
      </c>
      <c r="V17" s="78">
        <f>IF($T17&gt;$F$9,"",PRODUCT($U$17:$U17))</f>
        <v>0.99999166673611051</v>
      </c>
      <c r="W17" s="78">
        <f ca="1">((1+J18*1/12)*Maxamount)/(SUM($V$17:OFFSET(V16,$F$9-1,0))+1)</f>
        <v>51733.606686955951</v>
      </c>
    </row>
    <row r="18" spans="1:23" ht="13.8">
      <c r="A18" s="98">
        <f>IF(H17&gt;0.3,1,0)</f>
        <v>1</v>
      </c>
      <c r="B18" s="95">
        <v>1</v>
      </c>
      <c r="C18" s="24">
        <f>IF($B18&lt;=$F$9,B18,"")</f>
        <v>1</v>
      </c>
      <c r="D18" s="25">
        <f ca="1">IF($C18&lt;=$F$9,DATE(YEAR(H5),MONTH(H5)+1,DAY(H5)),"")</f>
        <v>45934</v>
      </c>
      <c r="E18" s="26">
        <f ca="1">IF($C18&lt;=$F$9,IF((H17+G18)&gt;(Калькулятор!$W$17),ROUNDUP((Калькулятор!$W$17)*A18,2),(H17+G18)),"")</f>
        <v>51733.61</v>
      </c>
      <c r="F18" s="26">
        <f ca="1">IF($C18&lt;=$F$9,E18-G18,"")</f>
        <v>51717.777013739716</v>
      </c>
      <c r="G18" s="26">
        <f>IF($C18&lt;=$F$9,H17*J18/365*30.416,"")</f>
        <v>15.832986260287431</v>
      </c>
      <c r="H18" s="26">
        <f ca="1">IF($C18&lt;=$F$9,H17+G18-E18,"")</f>
        <v>1848282.2180562601</v>
      </c>
      <c r="J18" s="92">
        <f>IF(C18&lt;=$B$9,$F$11,$F$12)</f>
        <v>1E-4</v>
      </c>
      <c r="Q18" s="89"/>
      <c r="T18" s="24">
        <f t="shared" si="0"/>
        <v>3</v>
      </c>
      <c r="U18" s="78">
        <f t="shared" ref="U18:U81" si="1">IF(T18&gt;$F$9,"",1/(1+J20/12))</f>
        <v>0.97561768794868242</v>
      </c>
      <c r="V18" s="78">
        <f>IF($T18&gt;$F$9,"",PRODUCT($U$17:$U18))</f>
        <v>0.97560955786903347</v>
      </c>
      <c r="W18" s="78"/>
    </row>
    <row r="19" spans="1:23" ht="13.8">
      <c r="A19" s="98">
        <f t="shared" ref="A19:A77" ca="1" si="2">IF(H18&gt;0.3,1,0)</f>
        <v>1</v>
      </c>
      <c r="B19" s="95">
        <v>2</v>
      </c>
      <c r="C19" s="24">
        <f t="shared" ref="C19:C77" si="3">IF($B19&lt;=$F$9,B19,"")</f>
        <v>2</v>
      </c>
      <c r="D19" s="25">
        <f ca="1">IF($C19&lt;=$F$9,DATE(YEAR(D18),MONTH(D18)+1,DAY(D18)),"")</f>
        <v>45965</v>
      </c>
      <c r="E19" s="26">
        <f ca="1">IF($C19&lt;=$F$9,IF((H18+G19)&gt;(Калькулятор!$W$17),ROUNDUP((Калькулятор!$W$17)*A19,2),(H18+G19)),"")</f>
        <v>51733.61</v>
      </c>
      <c r="F19" s="26">
        <f t="shared" ref="F19:F77" ca="1" si="4">IF($C19&lt;=$F$9,E19-G19,"")</f>
        <v>51718.207985768655</v>
      </c>
      <c r="G19" s="26">
        <f t="shared" ref="G19:G77" ca="1" si="5">IF($C19&lt;=$F$9,H18*J19/365*30.416,"")</f>
        <v>15.402014231342251</v>
      </c>
      <c r="H19" s="26">
        <f t="shared" ref="H19:H76" ca="1" si="6">IF($C19&lt;=$F$9,H18+G19-E19,"")</f>
        <v>1796564.0100704913</v>
      </c>
      <c r="J19" s="92">
        <f t="shared" ref="J19:J77" si="7">IF(C19&lt;=$B$9,$F$11,$F$12)</f>
        <v>1E-4</v>
      </c>
      <c r="T19" s="24">
        <f t="shared" si="0"/>
        <v>4</v>
      </c>
      <c r="U19" s="78">
        <f t="shared" si="1"/>
        <v>0.97561768794868242</v>
      </c>
      <c r="V19" s="78">
        <f>IF($T19&gt;$F$9,"",PRODUCT($U$17:$U19))</f>
        <v>0.95182194118882268</v>
      </c>
      <c r="W19" s="78"/>
    </row>
    <row r="20" spans="1:23" ht="13.8">
      <c r="A20" s="98">
        <f t="shared" ca="1" si="2"/>
        <v>1</v>
      </c>
      <c r="B20" s="95">
        <v>3</v>
      </c>
      <c r="C20" s="24">
        <f t="shared" si="3"/>
        <v>3</v>
      </c>
      <c r="D20" s="25">
        <f t="shared" ref="D20:D83" ca="1" si="8">IF($C20&lt;=$F$9,DATE(YEAR(D19),MONTH(D19)+1,DAY(D19)),"")</f>
        <v>45995</v>
      </c>
      <c r="E20" s="26">
        <f ca="1">IF($C20&lt;=$F$9,IF((H19+G20)&gt;(Калькулятор!$W$17),ROUNDUP((Калькулятор!$W$17)*A20,2),(H19+G20)),"")</f>
        <v>51733.61</v>
      </c>
      <c r="F20" s="26">
        <f t="shared" ca="1" si="4"/>
        <v>6835.4652054844119</v>
      </c>
      <c r="G20" s="26">
        <f t="shared" ca="1" si="5"/>
        <v>44898.144794515589</v>
      </c>
      <c r="H20" s="26">
        <f t="shared" ca="1" si="6"/>
        <v>1789728.5448650068</v>
      </c>
      <c r="J20" s="92">
        <f t="shared" si="7"/>
        <v>0.2999</v>
      </c>
      <c r="T20" s="24">
        <f t="shared" si="0"/>
        <v>5</v>
      </c>
      <c r="U20" s="78">
        <f t="shared" si="1"/>
        <v>0.97561768794868242</v>
      </c>
      <c r="V20" s="78">
        <f>IF($T20&gt;$F$9,"",PRODUCT($U$17:$U20))</f>
        <v>0.92861432160146595</v>
      </c>
      <c r="W20" s="78"/>
    </row>
    <row r="21" spans="1:23" ht="13.8">
      <c r="A21" s="98">
        <f t="shared" ca="1" si="2"/>
        <v>1</v>
      </c>
      <c r="B21" s="95">
        <v>4</v>
      </c>
      <c r="C21" s="24">
        <f t="shared" si="3"/>
        <v>4</v>
      </c>
      <c r="D21" s="25">
        <f t="shared" ca="1" si="8"/>
        <v>46026</v>
      </c>
      <c r="E21" s="26">
        <f ca="1">IF($C21&lt;=$F$9,IF((H20+G21)&gt;(Калькулятор!$W$17),ROUNDUP((Калькулятор!$W$17)*A21,2),(H20+G21)),"")</f>
        <v>51733.61</v>
      </c>
      <c r="F21" s="26">
        <f t="shared" ca="1" si="4"/>
        <v>7006.2911291995842</v>
      </c>
      <c r="G21" s="26">
        <f t="shared" ca="1" si="5"/>
        <v>44727.318870800416</v>
      </c>
      <c r="H21" s="26">
        <f t="shared" ca="1" si="6"/>
        <v>1782722.253735807</v>
      </c>
      <c r="J21" s="92">
        <f t="shared" si="7"/>
        <v>0.2999</v>
      </c>
      <c r="T21" s="24">
        <f t="shared" si="0"/>
        <v>6</v>
      </c>
      <c r="U21" s="78">
        <f t="shared" si="1"/>
        <v>0.97561768794868242</v>
      </c>
      <c r="V21" s="78">
        <f>IF($T21&gt;$F$9,"",PRODUCT($U$17:$U21))</f>
        <v>0.90597255743685645</v>
      </c>
      <c r="W21" s="78"/>
    </row>
    <row r="22" spans="1:23" ht="13.8">
      <c r="A22" s="98">
        <f t="shared" ca="1" si="2"/>
        <v>1</v>
      </c>
      <c r="B22" s="95">
        <v>5</v>
      </c>
      <c r="C22" s="24">
        <f t="shared" si="3"/>
        <v>5</v>
      </c>
      <c r="D22" s="25">
        <f t="shared" ca="1" si="8"/>
        <v>46057</v>
      </c>
      <c r="E22" s="26">
        <f ca="1">IF($C22&lt;=$F$9,IF((H21+G22)&gt;(Калькулятор!$W$17),ROUNDUP((Калькулятор!$W$17)*A22,2),(H21+G22)),"")</f>
        <v>51733.61</v>
      </c>
      <c r="F22" s="26">
        <f t="shared" ca="1" si="4"/>
        <v>7181.386183886214</v>
      </c>
      <c r="G22" s="26">
        <f t="shared" ca="1" si="5"/>
        <v>44552.223816113787</v>
      </c>
      <c r="H22" s="26">
        <f t="shared" ca="1" si="6"/>
        <v>1775540.8675519207</v>
      </c>
      <c r="J22" s="92">
        <f t="shared" si="7"/>
        <v>0.2999</v>
      </c>
      <c r="T22" s="24">
        <f t="shared" si="0"/>
        <v>7</v>
      </c>
      <c r="U22" s="78">
        <f t="shared" si="1"/>
        <v>0.97561768794868242</v>
      </c>
      <c r="V22" s="78">
        <f>IF($T22&gt;$F$9,"",PRODUCT($U$17:$U22))</f>
        <v>0.88388285183150073</v>
      </c>
      <c r="W22" s="78"/>
    </row>
    <row r="23" spans="1:23" ht="13.8">
      <c r="A23" s="98">
        <f t="shared" ca="1" si="2"/>
        <v>1</v>
      </c>
      <c r="B23" s="95">
        <v>6</v>
      </c>
      <c r="C23" s="24">
        <f t="shared" si="3"/>
        <v>6</v>
      </c>
      <c r="D23" s="25">
        <f t="shared" ca="1" si="8"/>
        <v>46085</v>
      </c>
      <c r="E23" s="26">
        <f ca="1">IF($C23&lt;=$F$9,IF((H22+G23)&gt;(Калькулятор!$W$17),ROUNDUP((Калькулятор!$W$17)*A23,2),(H22+G23)),"")</f>
        <v>51733.61</v>
      </c>
      <c r="F23" s="26">
        <f t="shared" ca="1" si="4"/>
        <v>7360.857059904054</v>
      </c>
      <c r="G23" s="26">
        <f t="shared" ca="1" si="5"/>
        <v>44372.752940095947</v>
      </c>
      <c r="H23" s="26">
        <f t="shared" ca="1" si="6"/>
        <v>1768180.0104920166</v>
      </c>
      <c r="J23" s="92">
        <f t="shared" si="7"/>
        <v>0.2999</v>
      </c>
      <c r="T23" s="24">
        <f t="shared" si="0"/>
        <v>8</v>
      </c>
      <c r="U23" s="78">
        <f t="shared" si="1"/>
        <v>0.97561768794868242</v>
      </c>
      <c r="V23" s="78">
        <f>IF($T23&gt;$F$9,"",PRODUCT($U$17:$U23))</f>
        <v>0.86233174432133652</v>
      </c>
      <c r="W23" s="78"/>
    </row>
    <row r="24" spans="1:23" ht="13.8">
      <c r="A24" s="98">
        <f t="shared" ca="1" si="2"/>
        <v>1</v>
      </c>
      <c r="B24" s="95">
        <v>7</v>
      </c>
      <c r="C24" s="24">
        <f t="shared" si="3"/>
        <v>7</v>
      </c>
      <c r="D24" s="25">
        <f t="shared" ca="1" si="8"/>
        <v>46116</v>
      </c>
      <c r="E24" s="26">
        <f ca="1">IF($C24&lt;=$F$9,IF((H23+G24)&gt;(Калькулятор!$W$17),ROUNDUP((Калькулятор!$W$17)*A24,2),(H23+G24)),"")</f>
        <v>51733.61</v>
      </c>
      <c r="F24" s="26">
        <f t="shared" ca="1" si="4"/>
        <v>7544.813113924276</v>
      </c>
      <c r="G24" s="26">
        <f t="shared" ca="1" si="5"/>
        <v>44188.796886075725</v>
      </c>
      <c r="H24" s="26">
        <f t="shared" ca="1" si="6"/>
        <v>1760635.1973780922</v>
      </c>
      <c r="J24" s="92">
        <f t="shared" si="7"/>
        <v>0.2999</v>
      </c>
      <c r="T24" s="24">
        <f t="shared" si="0"/>
        <v>9</v>
      </c>
      <c r="U24" s="78">
        <f t="shared" si="1"/>
        <v>0.97561768794868242</v>
      </c>
      <c r="V24" s="78">
        <f>IF($T24&gt;$F$9,"",PRODUCT($U$17:$U24))</f>
        <v>0.84130610263953665</v>
      </c>
      <c r="W24" s="78"/>
    </row>
    <row r="25" spans="1:23" ht="13.8">
      <c r="A25" s="98">
        <f t="shared" ca="1" si="2"/>
        <v>1</v>
      </c>
      <c r="B25" s="95">
        <v>8</v>
      </c>
      <c r="C25" s="24">
        <f t="shared" si="3"/>
        <v>8</v>
      </c>
      <c r="D25" s="25">
        <f t="shared" ca="1" si="8"/>
        <v>46146</v>
      </c>
      <c r="E25" s="26">
        <f ca="1">IF($C25&lt;=$F$9,IF((H24+G25)&gt;(Калькулятор!$W$17),ROUNDUP((Калькулятор!$W$17)*A25,2),(H24+G25)),"")</f>
        <v>51733.61</v>
      </c>
      <c r="F25" s="26">
        <f t="shared" ca="1" si="4"/>
        <v>7733.3664355636356</v>
      </c>
      <c r="G25" s="26">
        <f t="shared" ca="1" si="5"/>
        <v>44000.243564436365</v>
      </c>
      <c r="H25" s="26">
        <f t="shared" ca="1" si="6"/>
        <v>1752901.8309425286</v>
      </c>
      <c r="J25" s="92">
        <f t="shared" si="7"/>
        <v>0.2999</v>
      </c>
      <c r="T25" s="24">
        <f t="shared" si="0"/>
        <v>10</v>
      </c>
      <c r="U25" s="78">
        <f t="shared" si="1"/>
        <v>0.97561768794868242</v>
      </c>
      <c r="V25" s="78">
        <f>IF($T25&gt;$F$9,"",PRODUCT($U$17:$U25))</f>
        <v>0.82079311471430161</v>
      </c>
      <c r="W25" s="78"/>
    </row>
    <row r="26" spans="1:23" ht="13.8">
      <c r="A26" s="98">
        <f t="shared" ca="1" si="2"/>
        <v>1</v>
      </c>
      <c r="B26" s="95">
        <v>9</v>
      </c>
      <c r="C26" s="24">
        <f t="shared" si="3"/>
        <v>9</v>
      </c>
      <c r="D26" s="25">
        <f t="shared" ca="1" si="8"/>
        <v>46177</v>
      </c>
      <c r="E26" s="26">
        <f ca="1">IF($C26&lt;=$F$9,IF((H25+G26)&gt;(Калькулятор!$W$17),ROUNDUP((Калькулятор!$W$17)*A26,2),(H25+G26)),"")</f>
        <v>51733.61</v>
      </c>
      <c r="F26" s="26">
        <f t="shared" ca="1" si="4"/>
        <v>7926.6319156838654</v>
      </c>
      <c r="G26" s="26">
        <f t="shared" ca="1" si="5"/>
        <v>43806.978084316135</v>
      </c>
      <c r="H26" s="26">
        <f t="shared" ca="1" si="6"/>
        <v>1744975.1990268447</v>
      </c>
      <c r="J26" s="92">
        <f t="shared" si="7"/>
        <v>0.2999</v>
      </c>
      <c r="T26" s="24">
        <f t="shared" si="0"/>
        <v>11</v>
      </c>
      <c r="U26" s="78">
        <f t="shared" si="1"/>
        <v>0.97561768794868242</v>
      </c>
      <c r="V26" s="78">
        <f>IF($T26&gt;$F$9,"",PRODUCT($U$17:$U26))</f>
        <v>0.80078028086176456</v>
      </c>
      <c r="W26" s="78"/>
    </row>
    <row r="27" spans="1:23" ht="13.8">
      <c r="A27" s="98">
        <f t="shared" ca="1" si="2"/>
        <v>1</v>
      </c>
      <c r="B27" s="95">
        <v>10</v>
      </c>
      <c r="C27" s="24">
        <f t="shared" si="3"/>
        <v>10</v>
      </c>
      <c r="D27" s="25">
        <f t="shared" ca="1" si="8"/>
        <v>46207</v>
      </c>
      <c r="E27" s="26">
        <f ca="1">IF($C27&lt;=$F$9,IF((H26+G27)&gt;(Калькулятор!$W$17),ROUNDUP((Калькулятор!$W$17)*A27,2),(H26+G27)),"")</f>
        <v>51733.61</v>
      </c>
      <c r="F27" s="26">
        <f t="shared" ca="1" si="4"/>
        <v>8124.7273163978316</v>
      </c>
      <c r="G27" s="26">
        <f t="shared" ca="1" si="5"/>
        <v>43608.882683602169</v>
      </c>
      <c r="H27" s="26">
        <f t="shared" ca="1" si="6"/>
        <v>1736850.4717104468</v>
      </c>
      <c r="J27" s="92">
        <f t="shared" si="7"/>
        <v>0.2999</v>
      </c>
      <c r="T27" s="24">
        <f t="shared" si="0"/>
        <v>12</v>
      </c>
      <c r="U27" s="78">
        <f t="shared" si="1"/>
        <v>0.97561768794868242</v>
      </c>
      <c r="V27" s="78">
        <f>IF($T27&gt;$F$9,"",PRODUCT($U$17:$U27))</f>
        <v>0.78125540616925127</v>
      </c>
      <c r="W27" s="78"/>
    </row>
    <row r="28" spans="1:23" ht="13.8">
      <c r="A28" s="98">
        <f t="shared" ca="1" si="2"/>
        <v>1</v>
      </c>
      <c r="B28" s="95">
        <v>11</v>
      </c>
      <c r="C28" s="24">
        <f t="shared" si="3"/>
        <v>11</v>
      </c>
      <c r="D28" s="25">
        <f t="shared" ca="1" si="8"/>
        <v>46238</v>
      </c>
      <c r="E28" s="26">
        <f ca="1">IF($C28&lt;=$F$9,IF((H27+G28)&gt;(Калькулятор!$W$17),ROUNDUP((Калькулятор!$W$17)*A28,2),(H27+G28)),"")</f>
        <v>51733.61</v>
      </c>
      <c r="F28" s="26">
        <f t="shared" ca="1" si="4"/>
        <v>8327.7733428253996</v>
      </c>
      <c r="G28" s="26">
        <f t="shared" ca="1" si="5"/>
        <v>43405.836657174601</v>
      </c>
      <c r="H28" s="26">
        <f t="shared" ca="1" si="6"/>
        <v>1728522.6983676213</v>
      </c>
      <c r="J28" s="92">
        <f t="shared" si="7"/>
        <v>0.2999</v>
      </c>
      <c r="T28" s="24">
        <f t="shared" si="0"/>
        <v>13</v>
      </c>
      <c r="U28" s="78">
        <f t="shared" si="1"/>
        <v>0.97561768794868242</v>
      </c>
      <c r="V28" s="78">
        <f>IF($T28&gt;$F$9,"",PRODUCT($U$17:$U28))</f>
        <v>0.76220659306425376</v>
      </c>
      <c r="W28" s="78"/>
    </row>
    <row r="29" spans="1:23" ht="13.8">
      <c r="A29" s="98">
        <f t="shared" ca="1" si="2"/>
        <v>1</v>
      </c>
      <c r="B29" s="95">
        <v>12</v>
      </c>
      <c r="C29" s="24">
        <f t="shared" si="3"/>
        <v>12</v>
      </c>
      <c r="D29" s="25">
        <f t="shared" ca="1" si="8"/>
        <v>46269</v>
      </c>
      <c r="E29" s="26">
        <f ca="1">IF($C29&lt;=$F$9,IF((H28+G29)&gt;(Калькулятор!$W$17),ROUNDUP((Калькулятор!$W$17)*A29,2),(H28+G29)),"")</f>
        <v>51733.61</v>
      </c>
      <c r="F29" s="26">
        <f t="shared" ca="1" si="4"/>
        <v>8535.8937166424221</v>
      </c>
      <c r="G29" s="26">
        <f t="shared" ca="1" si="5"/>
        <v>43197.716283357579</v>
      </c>
      <c r="H29" s="26">
        <f t="shared" ca="1" si="6"/>
        <v>1719986.8046509787</v>
      </c>
      <c r="J29" s="92">
        <f t="shared" si="7"/>
        <v>0.2999</v>
      </c>
      <c r="T29" s="24">
        <f t="shared" si="0"/>
        <v>14</v>
      </c>
      <c r="U29" s="78">
        <f t="shared" si="1"/>
        <v>0.97561768794868242</v>
      </c>
      <c r="V29" s="78">
        <f>IF($T29&gt;$F$9,"",PRODUCT($U$17:$U29))</f>
        <v>0.74362223406458949</v>
      </c>
      <c r="W29" s="78"/>
    </row>
    <row r="30" spans="1:23" ht="13.8">
      <c r="A30" s="98">
        <f t="shared" ca="1" si="2"/>
        <v>1</v>
      </c>
      <c r="B30" s="95">
        <v>13</v>
      </c>
      <c r="C30" s="24">
        <f t="shared" si="3"/>
        <v>13</v>
      </c>
      <c r="D30" s="25">
        <f t="shared" ca="1" si="8"/>
        <v>46299</v>
      </c>
      <c r="E30" s="26">
        <f ca="1">IF($C30&lt;=$F$9,IF((H29+G30)&gt;(Калькулятор!$W$17),ROUNDUP((Калькулятор!$W$17)*A30,2),(H29+G30)),"")</f>
        <v>51733.61</v>
      </c>
      <c r="F30" s="26">
        <f t="shared" ca="1" si="4"/>
        <v>8749.2152514678746</v>
      </c>
      <c r="G30" s="26">
        <f t="shared" ca="1" si="5"/>
        <v>42984.394748532126</v>
      </c>
      <c r="H30" s="26">
        <f t="shared" ca="1" si="6"/>
        <v>1711237.5893995108</v>
      </c>
      <c r="J30" s="92">
        <f t="shared" si="7"/>
        <v>0.2999</v>
      </c>
      <c r="T30" s="24">
        <f t="shared" si="0"/>
        <v>15</v>
      </c>
      <c r="U30" s="78">
        <f t="shared" si="1"/>
        <v>0.97561768794868242</v>
      </c>
      <c r="V30" s="78">
        <f>IF($T30&gt;$F$9,"",PRODUCT($U$17:$U30))</f>
        <v>0.72549100470532879</v>
      </c>
      <c r="W30" s="78"/>
    </row>
    <row r="31" spans="1:23" ht="13.8">
      <c r="A31" s="98">
        <f t="shared" ca="1" si="2"/>
        <v>1</v>
      </c>
      <c r="B31" s="95">
        <v>14</v>
      </c>
      <c r="C31" s="24">
        <f t="shared" si="3"/>
        <v>14</v>
      </c>
      <c r="D31" s="25">
        <f t="shared" ca="1" si="8"/>
        <v>46330</v>
      </c>
      <c r="E31" s="26">
        <f ca="1">IF($C31&lt;=$F$9,IF((H30+G31)&gt;(Калькулятор!$W$17),ROUNDUP((Калькулятор!$W$17)*A31,2),(H30+G31)),"")</f>
        <v>51733.61</v>
      </c>
      <c r="F31" s="26">
        <f t="shared" ca="1" si="4"/>
        <v>8967.8679301349694</v>
      </c>
      <c r="G31" s="26">
        <f t="shared" ca="1" si="5"/>
        <v>42765.742069865031</v>
      </c>
      <c r="H31" s="26">
        <f t="shared" ca="1" si="6"/>
        <v>1702269.7214693758</v>
      </c>
      <c r="J31" s="92">
        <f t="shared" si="7"/>
        <v>0.2999</v>
      </c>
      <c r="T31" s="24">
        <f t="shared" si="0"/>
        <v>16</v>
      </c>
      <c r="U31" s="78">
        <f t="shared" si="1"/>
        <v>0.97561768794868242</v>
      </c>
      <c r="V31" s="78">
        <f>IF($T31&gt;$F$9,"",PRODUCT($U$17:$U31))</f>
        <v>0.70780185663817952</v>
      </c>
      <c r="W31" s="78"/>
    </row>
    <row r="32" spans="1:23" ht="13.8">
      <c r="A32" s="98">
        <f t="shared" ca="1" si="2"/>
        <v>1</v>
      </c>
      <c r="B32" s="95">
        <v>15</v>
      </c>
      <c r="C32" s="24">
        <f t="shared" si="3"/>
        <v>15</v>
      </c>
      <c r="D32" s="25">
        <f t="shared" ca="1" si="8"/>
        <v>46360</v>
      </c>
      <c r="E32" s="26">
        <f ca="1">IF($C32&lt;=$F$9,IF((H31+G32)&gt;(Калькулятор!$W$17),ROUNDUP((Калькулятор!$W$17)*A32,2),(H31+G32)),"")</f>
        <v>51733.61</v>
      </c>
      <c r="F32" s="26">
        <f t="shared" ca="1" si="4"/>
        <v>9191.9849838933151</v>
      </c>
      <c r="G32" s="26">
        <f t="shared" ca="1" si="5"/>
        <v>42541.625016106686</v>
      </c>
      <c r="H32" s="26">
        <f t="shared" ca="1" si="6"/>
        <v>1693077.7364854824</v>
      </c>
      <c r="J32" s="92">
        <f t="shared" si="7"/>
        <v>0.2999</v>
      </c>
      <c r="T32" s="24">
        <f t="shared" si="0"/>
        <v>17</v>
      </c>
      <c r="U32" s="78">
        <f t="shared" si="1"/>
        <v>0.97561768794868242</v>
      </c>
      <c r="V32" s="78">
        <f>IF($T32&gt;$F$9,"",PRODUCT($U$17:$U32))</f>
        <v>0.69054401089912543</v>
      </c>
      <c r="W32" s="78"/>
    </row>
    <row r="33" spans="1:23" ht="13.8">
      <c r="A33" s="98">
        <f t="shared" ca="1" si="2"/>
        <v>1</v>
      </c>
      <c r="B33" s="95">
        <v>16</v>
      </c>
      <c r="C33" s="24">
        <f t="shared" si="3"/>
        <v>16</v>
      </c>
      <c r="D33" s="25">
        <f t="shared" ca="1" si="8"/>
        <v>46391</v>
      </c>
      <c r="E33" s="26">
        <f ca="1">IF($C33&lt;=$F$9,IF((H32+G33)&gt;(Калькулятор!$W$17),ROUNDUP((Калькулятор!$W$17)*A33,2),(H32+G33)),"")</f>
        <v>51733.61</v>
      </c>
      <c r="F33" s="26">
        <f t="shared" ca="1" si="4"/>
        <v>9421.702973590589</v>
      </c>
      <c r="G33" s="26">
        <f t="shared" ca="1" si="5"/>
        <v>42311.907026409412</v>
      </c>
      <c r="H33" s="26">
        <f t="shared" ca="1" si="6"/>
        <v>1683656.0335118917</v>
      </c>
      <c r="J33" s="92">
        <f t="shared" si="7"/>
        <v>0.2999</v>
      </c>
      <c r="T33" s="24">
        <f t="shared" si="0"/>
        <v>18</v>
      </c>
      <c r="U33" s="78">
        <f t="shared" si="1"/>
        <v>0.97561768794868242</v>
      </c>
      <c r="V33" s="78">
        <f>IF($T33&gt;$F$9,"",PRODUCT($U$17:$U33))</f>
        <v>0.67370695134021452</v>
      </c>
      <c r="W33" s="78"/>
    </row>
    <row r="34" spans="1:23" ht="13.8">
      <c r="A34" s="98">
        <f t="shared" ca="1" si="2"/>
        <v>1</v>
      </c>
      <c r="B34" s="95">
        <v>17</v>
      </c>
      <c r="C34" s="24">
        <f t="shared" si="3"/>
        <v>17</v>
      </c>
      <c r="D34" s="25">
        <f t="shared" ca="1" si="8"/>
        <v>46422</v>
      </c>
      <c r="E34" s="26">
        <f ca="1">IF($C34&lt;=$F$9,IF((H33+G34)&gt;(Калькулятор!$W$17),ROUNDUP((Калькулятор!$W$17)*A34,2),(H33+G34)),"")</f>
        <v>51733.61</v>
      </c>
      <c r="F34" s="26">
        <f t="shared" ca="1" si="4"/>
        <v>9657.1618728827962</v>
      </c>
      <c r="G34" s="26">
        <f t="shared" ca="1" si="5"/>
        <v>42076.448127117204</v>
      </c>
      <c r="H34" s="26">
        <f t="shared" ca="1" si="6"/>
        <v>1673998.8716390089</v>
      </c>
      <c r="J34" s="92">
        <f t="shared" si="7"/>
        <v>0.2999</v>
      </c>
      <c r="T34" s="24">
        <f t="shared" si="0"/>
        <v>19</v>
      </c>
      <c r="U34" s="78">
        <f t="shared" si="1"/>
        <v>0.97561768794868242</v>
      </c>
      <c r="V34" s="78">
        <f>IF($T34&gt;$F$9,"",PRODUCT($U$17:$U34))</f>
        <v>0.65728041822149563</v>
      </c>
      <c r="W34" s="78"/>
    </row>
    <row r="35" spans="1:23" ht="13.8">
      <c r="A35" s="98">
        <f t="shared" ca="1" si="2"/>
        <v>1</v>
      </c>
      <c r="B35" s="95">
        <v>18</v>
      </c>
      <c r="C35" s="24">
        <f t="shared" si="3"/>
        <v>18</v>
      </c>
      <c r="D35" s="25">
        <f t="shared" ca="1" si="8"/>
        <v>46450</v>
      </c>
      <c r="E35" s="26">
        <f ca="1">IF($C35&lt;=$F$9,IF((H34+G35)&gt;(Калькулятор!$W$17),ROUNDUP((Калькулятор!$W$17)*A35,2),(H34+G35)),"")</f>
        <v>51733.61</v>
      </c>
      <c r="F35" s="26">
        <f t="shared" ca="1" si="4"/>
        <v>9898.5051535242455</v>
      </c>
      <c r="G35" s="26">
        <f t="shared" ca="1" si="5"/>
        <v>41835.104846475755</v>
      </c>
      <c r="H35" s="26">
        <f t="shared" ca="1" si="6"/>
        <v>1664100.3664854844</v>
      </c>
      <c r="J35" s="92">
        <f t="shared" si="7"/>
        <v>0.2999</v>
      </c>
      <c r="T35" s="24">
        <f t="shared" si="0"/>
        <v>20</v>
      </c>
      <c r="U35" s="78">
        <f t="shared" si="1"/>
        <v>0.97561768794868242</v>
      </c>
      <c r="V35" s="78">
        <f>IF($T35&gt;$F$9,"",PRODUCT($U$17:$U35))</f>
        <v>0.64125440195919858</v>
      </c>
      <c r="W35" s="78"/>
    </row>
    <row r="36" spans="1:23" ht="13.8">
      <c r="A36" s="98">
        <f t="shared" ca="1" si="2"/>
        <v>1</v>
      </c>
      <c r="B36" s="95">
        <v>19</v>
      </c>
      <c r="C36" s="24">
        <f t="shared" si="3"/>
        <v>19</v>
      </c>
      <c r="D36" s="25">
        <f t="shared" ca="1" si="8"/>
        <v>46481</v>
      </c>
      <c r="E36" s="26">
        <f ca="1">IF($C36&lt;=$F$9,IF((H35+G36)&gt;(Калькулятор!$W$17),ROUNDUP((Калькулятор!$W$17)*A36,2),(H35+G36)),"")</f>
        <v>51733.61</v>
      </c>
      <c r="F36" s="26">
        <f t="shared" ca="1" si="4"/>
        <v>10145.879872788915</v>
      </c>
      <c r="G36" s="26">
        <f t="shared" ca="1" si="5"/>
        <v>41587.730127211085</v>
      </c>
      <c r="H36" s="26">
        <f t="shared" ca="1" si="6"/>
        <v>1653954.4866126955</v>
      </c>
      <c r="J36" s="92">
        <f t="shared" si="7"/>
        <v>0.2999</v>
      </c>
      <c r="T36" s="24">
        <f t="shared" si="0"/>
        <v>21</v>
      </c>
      <c r="U36" s="78">
        <f t="shared" si="1"/>
        <v>0.97561768794868242</v>
      </c>
      <c r="V36" s="78">
        <f>IF($T36&gt;$F$9,"",PRODUCT($U$17:$U36))</f>
        <v>0.62561913702634842</v>
      </c>
      <c r="W36" s="78"/>
    </row>
    <row r="37" spans="1:23" ht="13.8">
      <c r="A37" s="98">
        <f t="shared" ca="1" si="2"/>
        <v>1</v>
      </c>
      <c r="B37" s="95">
        <v>20</v>
      </c>
      <c r="C37" s="24">
        <f t="shared" si="3"/>
        <v>20</v>
      </c>
      <c r="D37" s="25">
        <f t="shared" ca="1" si="8"/>
        <v>46511</v>
      </c>
      <c r="E37" s="26">
        <f ca="1">IF($C37&lt;=$F$9,IF((H36+G37)&gt;(Калькулятор!$W$17),ROUNDUP((Калькулятор!$W$17)*A37,2),(H36+G37)),"")</f>
        <v>51733.61</v>
      </c>
      <c r="F37" s="26">
        <f t="shared" ca="1" si="4"/>
        <v>10399.436763076599</v>
      </c>
      <c r="G37" s="26">
        <f t="shared" ca="1" si="5"/>
        <v>41334.173236923401</v>
      </c>
      <c r="H37" s="26">
        <f t="shared" ca="1" si="6"/>
        <v>1643555.0498496187</v>
      </c>
      <c r="J37" s="92">
        <f t="shared" si="7"/>
        <v>0.2999</v>
      </c>
      <c r="T37" s="24">
        <f t="shared" si="0"/>
        <v>22</v>
      </c>
      <c r="U37" s="78">
        <f t="shared" si="1"/>
        <v>0.97561768794868242</v>
      </c>
      <c r="V37" s="78">
        <f>IF($T37&gt;$F$9,"",PRODUCT($U$17:$U37))</f>
        <v>0.61036509600209599</v>
      </c>
      <c r="W37" s="78"/>
    </row>
    <row r="38" spans="1:23" ht="13.8">
      <c r="A38" s="98">
        <f t="shared" ca="1" si="2"/>
        <v>1</v>
      </c>
      <c r="B38" s="95">
        <v>21</v>
      </c>
      <c r="C38" s="24">
        <f t="shared" si="3"/>
        <v>21</v>
      </c>
      <c r="D38" s="25">
        <f t="shared" ca="1" si="8"/>
        <v>46542</v>
      </c>
      <c r="E38" s="26">
        <f ca="1">IF($C38&lt;=$F$9,IF((H37+G38)&gt;(Калькулятор!$W$17),ROUNDUP((Калькулятор!$W$17)*A38,2),(H37+G38)),"")</f>
        <v>51733.61</v>
      </c>
      <c r="F38" s="26">
        <f t="shared" ca="1" si="4"/>
        <v>10659.330323758419</v>
      </c>
      <c r="G38" s="26">
        <f t="shared" ca="1" si="5"/>
        <v>41074.279676241582</v>
      </c>
      <c r="H38" s="26">
        <f t="shared" ca="1" si="6"/>
        <v>1632895.7195258602</v>
      </c>
      <c r="J38" s="92">
        <f t="shared" si="7"/>
        <v>0.2999</v>
      </c>
      <c r="T38" s="24">
        <f t="shared" si="0"/>
        <v>23</v>
      </c>
      <c r="U38" s="78">
        <f t="shared" si="1"/>
        <v>0.97561768794868242</v>
      </c>
      <c r="V38" s="78">
        <f>IF($T38&gt;$F$9,"",PRODUCT($U$17:$U38))</f>
        <v>0.59548298376614051</v>
      </c>
      <c r="W38" s="78"/>
    </row>
    <row r="39" spans="1:23" ht="13.8">
      <c r="A39" s="98">
        <f t="shared" ca="1" si="2"/>
        <v>1</v>
      </c>
      <c r="B39" s="95">
        <v>22</v>
      </c>
      <c r="C39" s="24">
        <f t="shared" si="3"/>
        <v>22</v>
      </c>
      <c r="D39" s="25">
        <f t="shared" ca="1" si="8"/>
        <v>46572</v>
      </c>
      <c r="E39" s="26">
        <f ca="1">IF($C39&lt;=$F$9,IF((H38+G39)&gt;(Калькулятор!$W$17),ROUNDUP((Калькулятор!$W$17)*A39,2),(H38+G39)),"")</f>
        <v>51733.61</v>
      </c>
      <c r="F39" s="26">
        <f t="shared" ca="1" si="4"/>
        <v>10925.718915317644</v>
      </c>
      <c r="G39" s="26">
        <f t="shared" ca="1" si="5"/>
        <v>40807.891084682356</v>
      </c>
      <c r="H39" s="26">
        <f t="shared" ca="1" si="6"/>
        <v>1621970.0006105425</v>
      </c>
      <c r="J39" s="92">
        <f t="shared" si="7"/>
        <v>0.2999</v>
      </c>
      <c r="T39" s="24">
        <f t="shared" si="0"/>
        <v>24</v>
      </c>
      <c r="U39" s="78">
        <f t="shared" si="1"/>
        <v>0.97561768794868242</v>
      </c>
      <c r="V39" s="78">
        <f>IF($T39&gt;$F$9,"",PRODUCT($U$17:$U39))</f>
        <v>0.58096373183470473</v>
      </c>
      <c r="W39" s="78"/>
    </row>
    <row r="40" spans="1:23" ht="13.8">
      <c r="A40" s="98">
        <f t="shared" ca="1" si="2"/>
        <v>1</v>
      </c>
      <c r="B40" s="95">
        <v>23</v>
      </c>
      <c r="C40" s="24">
        <f t="shared" si="3"/>
        <v>23</v>
      </c>
      <c r="D40" s="25">
        <f t="shared" ca="1" si="8"/>
        <v>46603</v>
      </c>
      <c r="E40" s="26">
        <f ca="1">IF($C40&lt;=$F$9,IF((H39+G40)&gt;(Калькулятор!$W$17),ROUNDUP((Калькулятор!$W$17)*A40,2),(H39+G40)),"")</f>
        <v>51733.61</v>
      </c>
      <c r="F40" s="26">
        <f t="shared" ca="1" si="4"/>
        <v>11198.764855843234</v>
      </c>
      <c r="G40" s="26">
        <f t="shared" ca="1" si="5"/>
        <v>40534.845144156767</v>
      </c>
      <c r="H40" s="26">
        <f t="shared" ca="1" si="6"/>
        <v>1610771.2357546992</v>
      </c>
      <c r="J40" s="92">
        <f t="shared" si="7"/>
        <v>0.2999</v>
      </c>
      <c r="T40" s="24">
        <f t="shared" si="0"/>
        <v>25</v>
      </c>
      <c r="U40" s="78">
        <f t="shared" si="1"/>
        <v>0.97561768794868242</v>
      </c>
      <c r="V40" s="78">
        <f>IF($T40&gt;$F$9,"",PRODUCT($U$17:$U40))</f>
        <v>0.56679849283461303</v>
      </c>
      <c r="W40" s="78"/>
    </row>
    <row r="41" spans="1:23" ht="13.8">
      <c r="A41" s="98">
        <f t="shared" ca="1" si="2"/>
        <v>1</v>
      </c>
      <c r="B41" s="95">
        <v>24</v>
      </c>
      <c r="C41" s="24">
        <f t="shared" si="3"/>
        <v>24</v>
      </c>
      <c r="D41" s="25">
        <f t="shared" ca="1" si="8"/>
        <v>46634</v>
      </c>
      <c r="E41" s="26">
        <f ca="1">IF($C41&lt;=$F$9,IF((H40+G41)&gt;(Калькулятор!$W$17),ROUNDUP((Калькулятор!$W$17)*A41,2),(H40+G41)),"")</f>
        <v>51733.61</v>
      </c>
      <c r="F41" s="26">
        <f t="shared" ca="1" si="4"/>
        <v>11478.634519934778</v>
      </c>
      <c r="G41" s="26">
        <f t="shared" ca="1" si="5"/>
        <v>40254.975480065223</v>
      </c>
      <c r="H41" s="26">
        <f t="shared" ca="1" si="6"/>
        <v>1599292.6012347643</v>
      </c>
      <c r="J41" s="92">
        <f t="shared" si="7"/>
        <v>0.2999</v>
      </c>
      <c r="T41" s="24">
        <f t="shared" si="0"/>
        <v>26</v>
      </c>
      <c r="U41" s="78">
        <f t="shared" si="1"/>
        <v>0.97561768794868242</v>
      </c>
      <c r="V41" s="78">
        <f>IF($T41&gt;$F$9,"",PRODUCT($U$17:$U41))</f>
        <v>0.55297863511210299</v>
      </c>
      <c r="W41" s="78"/>
    </row>
    <row r="42" spans="1:23" ht="13.8">
      <c r="A42" s="98">
        <f t="shared" ca="1" si="2"/>
        <v>1</v>
      </c>
      <c r="B42" s="95">
        <v>25</v>
      </c>
      <c r="C42" s="24">
        <f t="shared" si="3"/>
        <v>25</v>
      </c>
      <c r="D42" s="25">
        <f t="shared" ca="1" si="8"/>
        <v>46664</v>
      </c>
      <c r="E42" s="26">
        <f ca="1">IF($C42&lt;=$F$9,IF((H41+G42)&gt;(Калькулятор!$W$17),ROUNDUP((Калькулятор!$W$17)*A42,2),(H41+G42)),"")</f>
        <v>51733.61</v>
      </c>
      <c r="F42" s="26">
        <f t="shared" ca="1" si="4"/>
        <v>11765.498440079282</v>
      </c>
      <c r="G42" s="26">
        <f t="shared" ca="1" si="5"/>
        <v>39968.111559920719</v>
      </c>
      <c r="H42" s="26">
        <f t="shared" ca="1" si="6"/>
        <v>1587527.1027946849</v>
      </c>
      <c r="J42" s="92">
        <f t="shared" si="7"/>
        <v>0.2999</v>
      </c>
      <c r="T42" s="24">
        <f t="shared" si="0"/>
        <v>27</v>
      </c>
      <c r="U42" s="78">
        <f t="shared" si="1"/>
        <v>0.97561768794868242</v>
      </c>
      <c r="V42" s="78">
        <f>IF($T42&gt;$F$9,"",PRODUCT($U$17:$U42))</f>
        <v>0.53949573747308799</v>
      </c>
      <c r="W42" s="78"/>
    </row>
    <row r="43" spans="1:23" ht="13.8">
      <c r="A43" s="98">
        <f t="shared" ca="1" si="2"/>
        <v>1</v>
      </c>
      <c r="B43" s="95">
        <v>26</v>
      </c>
      <c r="C43" s="24">
        <f t="shared" si="3"/>
        <v>26</v>
      </c>
      <c r="D43" s="25">
        <f t="shared" ca="1" si="8"/>
        <v>46695</v>
      </c>
      <c r="E43" s="26">
        <f ca="1">IF($C43&lt;=$F$9,IF((H42+G43)&gt;(Калькулятор!$W$17),ROUNDUP((Калькулятор!$W$17)*A43,2),(H42+G43)),"")</f>
        <v>51733.61</v>
      </c>
      <c r="F43" s="26">
        <f t="shared" ca="1" si="4"/>
        <v>12059.531410561423</v>
      </c>
      <c r="G43" s="26">
        <f t="shared" ca="1" si="5"/>
        <v>39674.078589438577</v>
      </c>
      <c r="H43" s="26">
        <f t="shared" ca="1" si="6"/>
        <v>1575467.5713841233</v>
      </c>
      <c r="J43" s="92">
        <f t="shared" si="7"/>
        <v>0.2999</v>
      </c>
      <c r="T43" s="24">
        <f t="shared" si="0"/>
        <v>28</v>
      </c>
      <c r="U43" s="78">
        <f t="shared" si="1"/>
        <v>0.97561768794868242</v>
      </c>
      <c r="V43" s="78">
        <f>IF($T43&gt;$F$9,"",PRODUCT($U$17:$U43))</f>
        <v>0.52634158405166342</v>
      </c>
      <c r="W43" s="78"/>
    </row>
    <row r="44" spans="1:23" ht="13.8">
      <c r="A44" s="98">
        <f t="shared" ca="1" si="2"/>
        <v>1</v>
      </c>
      <c r="B44" s="95">
        <v>27</v>
      </c>
      <c r="C44" s="24">
        <f t="shared" si="3"/>
        <v>27</v>
      </c>
      <c r="D44" s="25">
        <f t="shared" ca="1" si="8"/>
        <v>46725</v>
      </c>
      <c r="E44" s="26">
        <f ca="1">IF($C44&lt;=$F$9,IF((H43+G44)&gt;(Калькулятор!$W$17),ROUNDUP((Калькулятор!$W$17)*A44,2),(H43+G44)),"")</f>
        <v>51733.61</v>
      </c>
      <c r="F44" s="26">
        <f t="shared" ca="1" si="4"/>
        <v>12360.912593970606</v>
      </c>
      <c r="G44" s="26">
        <f t="shared" ca="1" si="5"/>
        <v>39372.697406029394</v>
      </c>
      <c r="H44" s="26">
        <f t="shared" ca="1" si="6"/>
        <v>1563106.6587901525</v>
      </c>
      <c r="J44" s="92">
        <f t="shared" si="7"/>
        <v>0.2999</v>
      </c>
      <c r="T44" s="24">
        <f t="shared" si="0"/>
        <v>29</v>
      </c>
      <c r="U44" s="78">
        <f t="shared" si="1"/>
        <v>0.97561768794868242</v>
      </c>
      <c r="V44" s="78">
        <f>IF($T44&gt;$F$9,"",PRODUCT($U$17:$U44))</f>
        <v>0.51350815930373095</v>
      </c>
      <c r="W44" s="78"/>
    </row>
    <row r="45" spans="1:23" ht="13.8">
      <c r="A45" s="98">
        <f t="shared" ca="1" si="2"/>
        <v>1</v>
      </c>
      <c r="B45" s="95">
        <v>28</v>
      </c>
      <c r="C45" s="24">
        <f t="shared" si="3"/>
        <v>28</v>
      </c>
      <c r="D45" s="25">
        <f t="shared" ca="1" si="8"/>
        <v>46756</v>
      </c>
      <c r="E45" s="26">
        <f ca="1">IF($C45&lt;=$F$9,IF((H44+G45)&gt;(Калькулятор!$W$17),ROUNDUP((Калькулятор!$W$17)*A45,2),(H44+G45)),"")</f>
        <v>51733.61</v>
      </c>
      <c r="F45" s="26">
        <f t="shared" ca="1" si="4"/>
        <v>12669.825630369844</v>
      </c>
      <c r="G45" s="26">
        <f t="shared" ca="1" si="5"/>
        <v>39063.784369630157</v>
      </c>
      <c r="H45" s="26">
        <f t="shared" ca="1" si="6"/>
        <v>1550436.8331597827</v>
      </c>
      <c r="J45" s="92">
        <f t="shared" si="7"/>
        <v>0.2999</v>
      </c>
      <c r="T45" s="24">
        <f t="shared" si="0"/>
        <v>30</v>
      </c>
      <c r="U45" s="78">
        <f t="shared" si="1"/>
        <v>0.97561768794868242</v>
      </c>
      <c r="V45" s="78">
        <f>IF($T45&gt;$F$9,"",PRODUCT($U$17:$U45))</f>
        <v>0.50098764312268973</v>
      </c>
      <c r="W45" s="78"/>
    </row>
    <row r="46" spans="1:23" ht="13.8">
      <c r="A46" s="98">
        <f t="shared" ca="1" si="2"/>
        <v>1</v>
      </c>
      <c r="B46" s="95">
        <v>29</v>
      </c>
      <c r="C46" s="24">
        <f t="shared" si="3"/>
        <v>29</v>
      </c>
      <c r="D46" s="25">
        <f t="shared" ca="1" si="8"/>
        <v>46787</v>
      </c>
      <c r="E46" s="26">
        <f ca="1">IF($C46&lt;=$F$9,IF((H45+G46)&gt;(Калькулятор!$W$17),ROUNDUP((Калькулятор!$W$17)*A46,2),(H45+G46)),"")</f>
        <v>51733.61</v>
      </c>
      <c r="F46" s="26">
        <f t="shared" ca="1" si="4"/>
        <v>12986.458749192752</v>
      </c>
      <c r="G46" s="26">
        <f t="shared" ca="1" si="5"/>
        <v>38747.151250807248</v>
      </c>
      <c r="H46" s="26">
        <f t="shared" ca="1" si="6"/>
        <v>1537450.3744105899</v>
      </c>
      <c r="J46" s="92">
        <f t="shared" si="7"/>
        <v>0.2999</v>
      </c>
      <c r="T46" s="24">
        <f t="shared" si="0"/>
        <v>31</v>
      </c>
      <c r="U46" s="78">
        <f t="shared" si="1"/>
        <v>0.97561768794868242</v>
      </c>
      <c r="V46" s="78">
        <f>IF($T46&gt;$F$9,"",PRODUCT($U$17:$U46))</f>
        <v>0.48877240607421818</v>
      </c>
      <c r="W46" s="78"/>
    </row>
    <row r="47" spans="1:23" ht="13.8">
      <c r="A47" s="98">
        <f t="shared" ca="1" si="2"/>
        <v>1</v>
      </c>
      <c r="B47" s="95">
        <v>30</v>
      </c>
      <c r="C47" s="24">
        <f t="shared" si="3"/>
        <v>30</v>
      </c>
      <c r="D47" s="25">
        <f t="shared" ca="1" si="8"/>
        <v>46816</v>
      </c>
      <c r="E47" s="26">
        <f ca="1">IF($C47&lt;=$F$9,IF((H46+G47)&gt;(Калькулятор!$W$17),ROUNDUP((Калькулятор!$W$17)*A47,2),(H46+G47)),"")</f>
        <v>51733.61</v>
      </c>
      <c r="F47" s="26">
        <f t="shared" ca="1" si="4"/>
        <v>13311.004883937137</v>
      </c>
      <c r="G47" s="26">
        <f t="shared" ca="1" si="5"/>
        <v>38422.605116062863</v>
      </c>
      <c r="H47" s="26">
        <f t="shared" ca="1" si="6"/>
        <v>1524139.3695266526</v>
      </c>
      <c r="J47" s="92">
        <f t="shared" si="7"/>
        <v>0.2999</v>
      </c>
      <c r="T47" s="24">
        <f t="shared" si="0"/>
        <v>32</v>
      </c>
      <c r="U47" s="78">
        <f t="shared" si="1"/>
        <v>0.97561768794868242</v>
      </c>
      <c r="V47" s="78">
        <f>IF($T47&gt;$F$9,"",PRODUCT($U$17:$U47))</f>
        <v>0.47685500474724329</v>
      </c>
      <c r="W47" s="78"/>
    </row>
    <row r="48" spans="1:23" ht="13.8">
      <c r="A48" s="98">
        <f t="shared" ca="1" si="2"/>
        <v>1</v>
      </c>
      <c r="B48" s="95">
        <v>31</v>
      </c>
      <c r="C48" s="24">
        <f t="shared" si="3"/>
        <v>31</v>
      </c>
      <c r="D48" s="25">
        <f t="shared" ca="1" si="8"/>
        <v>46847</v>
      </c>
      <c r="E48" s="26">
        <f ca="1">IF($C48&lt;=$F$9,IF((H47+G48)&gt;(Калькулятор!$W$17),ROUNDUP((Калькулятор!$W$17)*A48,2),(H47+G48)),"")</f>
        <v>51733.61</v>
      </c>
      <c r="F48" s="26">
        <f t="shared" ca="1" si="4"/>
        <v>13643.6617897248</v>
      </c>
      <c r="G48" s="26">
        <f t="shared" ca="1" si="5"/>
        <v>38089.948210275201</v>
      </c>
      <c r="H48" s="26">
        <f t="shared" ca="1" si="6"/>
        <v>1510495.7077369278</v>
      </c>
      <c r="J48" s="92">
        <f t="shared" si="7"/>
        <v>0.2999</v>
      </c>
      <c r="T48" s="24">
        <f t="shared" ref="T48:T79" si="9">IF($B50&lt;=$F$9,B50,"")</f>
        <v>33</v>
      </c>
      <c r="U48" s="78">
        <f t="shared" si="1"/>
        <v>0.97561768794868242</v>
      </c>
      <c r="V48" s="78">
        <f>IF($T48&gt;$F$9,"",PRODUCT($U$17:$U48))</f>
        <v>0.46522817721826348</v>
      </c>
      <c r="W48" s="78"/>
    </row>
    <row r="49" spans="1:23" ht="13.8">
      <c r="A49" s="98">
        <f t="shared" ca="1" si="2"/>
        <v>1</v>
      </c>
      <c r="B49" s="95">
        <v>32</v>
      </c>
      <c r="C49" s="24">
        <f t="shared" si="3"/>
        <v>32</v>
      </c>
      <c r="D49" s="25">
        <f t="shared" ca="1" si="8"/>
        <v>46877</v>
      </c>
      <c r="E49" s="26">
        <f ca="1">IF($C49&lt;=$F$9,IF((H48+G49)&gt;(Калькулятор!$W$17),ROUNDUP((Калькулятор!$W$17)*A49,2),(H48+G49)),"")</f>
        <v>51733.61</v>
      </c>
      <c r="F49" s="26">
        <f t="shared" ca="1" si="4"/>
        <v>13984.632163799273</v>
      </c>
      <c r="G49" s="26">
        <f t="shared" ca="1" si="5"/>
        <v>37748.977836200727</v>
      </c>
      <c r="H49" s="26">
        <f t="shared" ca="1" si="6"/>
        <v>1496511.0755731284</v>
      </c>
      <c r="J49" s="92">
        <f t="shared" si="7"/>
        <v>0.2999</v>
      </c>
      <c r="T49" s="24">
        <f t="shared" si="9"/>
        <v>34</v>
      </c>
      <c r="U49" s="78">
        <f t="shared" si="1"/>
        <v>0.97561768794868242</v>
      </c>
      <c r="V49" s="78">
        <f>IF($T49&gt;$F$9,"",PRODUCT($U$17:$U49))</f>
        <v>0.45388483862626211</v>
      </c>
      <c r="W49" s="78"/>
    </row>
    <row r="50" spans="1:23" ht="13.8">
      <c r="A50" s="98">
        <f t="shared" ca="1" si="2"/>
        <v>1</v>
      </c>
      <c r="B50" s="95">
        <v>33</v>
      </c>
      <c r="C50" s="24">
        <f t="shared" si="3"/>
        <v>33</v>
      </c>
      <c r="D50" s="25">
        <f t="shared" ca="1" si="8"/>
        <v>46908</v>
      </c>
      <c r="E50" s="26">
        <f ca="1">IF($C50&lt;=$F$9,IF((H49+G50)&gt;(Калькулятор!$W$17),ROUNDUP((Калькулятор!$W$17)*A50,2),(H49+G50)),"")</f>
        <v>51733.61</v>
      </c>
      <c r="F50" s="26">
        <f t="shared" ca="1" si="4"/>
        <v>14334.123769035017</v>
      </c>
      <c r="G50" s="26">
        <f t="shared" ca="1" si="5"/>
        <v>37399.486230964983</v>
      </c>
      <c r="H50" s="26">
        <f t="shared" ca="1" si="6"/>
        <v>1482176.9518040933</v>
      </c>
      <c r="J50" s="92">
        <f t="shared" si="7"/>
        <v>0.2999</v>
      </c>
      <c r="T50" s="24">
        <f t="shared" si="9"/>
        <v>35</v>
      </c>
      <c r="U50" s="78">
        <f t="shared" si="1"/>
        <v>0.97561768794868242</v>
      </c>
      <c r="V50" s="78">
        <f>IF($T50&gt;$F$9,"",PRODUCT($U$17:$U50))</f>
        <v>0.44281807685551466</v>
      </c>
      <c r="W50" s="78"/>
    </row>
    <row r="51" spans="1:23" ht="13.8">
      <c r="A51" s="98">
        <f t="shared" ca="1" si="2"/>
        <v>1</v>
      </c>
      <c r="B51" s="95">
        <v>34</v>
      </c>
      <c r="C51" s="24">
        <f t="shared" si="3"/>
        <v>34</v>
      </c>
      <c r="D51" s="25">
        <f t="shared" ca="1" si="8"/>
        <v>46938</v>
      </c>
      <c r="E51" s="26">
        <f ca="1">IF($C51&lt;=$F$9,IF((H50+G51)&gt;(Калькулятор!$W$17),ROUNDUP((Калькулятор!$W$17)*A51,2),(H50+G51)),"")</f>
        <v>51733.61</v>
      </c>
      <c r="F51" s="26">
        <f t="shared" ca="1" si="4"/>
        <v>14692.349560533199</v>
      </c>
      <c r="G51" s="26">
        <f t="shared" ca="1" si="5"/>
        <v>37041.260439466801</v>
      </c>
      <c r="H51" s="26">
        <f t="shared" ca="1" si="6"/>
        <v>1467484.6022435601</v>
      </c>
      <c r="J51" s="92">
        <f t="shared" si="7"/>
        <v>0.2999</v>
      </c>
      <c r="T51" s="24">
        <f t="shared" si="9"/>
        <v>36</v>
      </c>
      <c r="U51" s="78">
        <f t="shared" si="1"/>
        <v>0.97561768794868242</v>
      </c>
      <c r="V51" s="78">
        <f>IF($T51&gt;$F$9,"",PRODUCT($U$17:$U51))</f>
        <v>0.43202114832365918</v>
      </c>
      <c r="W51" s="78"/>
    </row>
    <row r="52" spans="1:23" ht="13.8">
      <c r="A52" s="98">
        <f t="shared" ca="1" si="2"/>
        <v>1</v>
      </c>
      <c r="B52" s="95">
        <v>35</v>
      </c>
      <c r="C52" s="24">
        <f t="shared" si="3"/>
        <v>35</v>
      </c>
      <c r="D52" s="25">
        <f t="shared" ca="1" si="8"/>
        <v>46969</v>
      </c>
      <c r="E52" s="26">
        <f ca="1">IF($C52&lt;=$F$9,IF((H51+G52)&gt;(Калькулятор!$W$17),ROUNDUP((Калькулятор!$W$17)*A52,2),(H51+G52)),"")</f>
        <v>51733.61</v>
      </c>
      <c r="F52" s="26">
        <f t="shared" ca="1" si="4"/>
        <v>15059.527815381225</v>
      </c>
      <c r="G52" s="26">
        <f t="shared" ca="1" si="5"/>
        <v>36674.082184618775</v>
      </c>
      <c r="H52" s="26">
        <f t="shared" ca="1" si="6"/>
        <v>1452425.0744281788</v>
      </c>
      <c r="J52" s="92">
        <f t="shared" si="7"/>
        <v>0.2999</v>
      </c>
      <c r="T52" s="24">
        <f t="shared" si="9"/>
        <v>37</v>
      </c>
      <c r="U52" s="78">
        <f t="shared" si="1"/>
        <v>0.97561768794868242</v>
      </c>
      <c r="V52" s="78">
        <f>IF($T52&gt;$F$9,"",PRODUCT($U$17:$U52))</f>
        <v>0.42148747387246316</v>
      </c>
      <c r="W52" s="78"/>
    </row>
    <row r="53" spans="1:23" ht="13.8">
      <c r="A53" s="98">
        <f t="shared" ca="1" si="2"/>
        <v>1</v>
      </c>
      <c r="B53" s="95">
        <v>36</v>
      </c>
      <c r="C53" s="24">
        <f t="shared" si="3"/>
        <v>36</v>
      </c>
      <c r="D53" s="25">
        <f t="shared" ca="1" si="8"/>
        <v>47000</v>
      </c>
      <c r="E53" s="26">
        <f ca="1">IF($C53&lt;=$F$9,IF((H52+G53)&gt;(Калькулятор!$W$17),ROUNDUP((Калькулятор!$W$17)*A53,2),(H52+G53)),"")</f>
        <v>51733.61</v>
      </c>
      <c r="F53" s="26">
        <f t="shared" ca="1" si="4"/>
        <v>15435.882265655164</v>
      </c>
      <c r="G53" s="26">
        <f t="shared" ca="1" si="5"/>
        <v>36297.727734344837</v>
      </c>
      <c r="H53" s="26">
        <f t="shared" ca="1" si="6"/>
        <v>1436989.1921625235</v>
      </c>
      <c r="J53" s="92">
        <f t="shared" si="7"/>
        <v>0.2999</v>
      </c>
      <c r="T53" s="24">
        <f t="shared" si="9"/>
        <v>38</v>
      </c>
      <c r="U53" s="78">
        <f t="shared" si="1"/>
        <v>0.97561768794868242</v>
      </c>
      <c r="V53" s="78">
        <f>IF($T53&gt;$F$9,"",PRODUCT($U$17:$U53))</f>
        <v>0.41121063475878322</v>
      </c>
      <c r="W53" s="78"/>
    </row>
    <row r="54" spans="1:23" ht="13.8">
      <c r="A54" s="98">
        <f t="shared" ca="1" si="2"/>
        <v>1</v>
      </c>
      <c r="B54" s="95">
        <v>37</v>
      </c>
      <c r="C54" s="24">
        <f t="shared" si="3"/>
        <v>37</v>
      </c>
      <c r="D54" s="25">
        <f t="shared" ca="1" si="8"/>
        <v>47030</v>
      </c>
      <c r="E54" s="26">
        <f ca="1">IF($C54&lt;=$F$9,IF((H53+G54)&gt;(Калькулятор!$W$17),ROUNDUP((Калькулятор!$W$17)*A54,2),(H53+G54)),"")</f>
        <v>51733.61</v>
      </c>
      <c r="F54" s="26">
        <f t="shared" ca="1" si="4"/>
        <v>15821.642234745996</v>
      </c>
      <c r="G54" s="26">
        <f t="shared" ca="1" si="5"/>
        <v>35911.967765254005</v>
      </c>
      <c r="H54" s="26">
        <f t="shared" ca="1" si="6"/>
        <v>1421167.5499277774</v>
      </c>
      <c r="J54" s="92">
        <f t="shared" si="7"/>
        <v>0.2999</v>
      </c>
      <c r="T54" s="24">
        <f t="shared" si="9"/>
        <v>39</v>
      </c>
      <c r="U54" s="78">
        <f t="shared" si="1"/>
        <v>0.97561768794868242</v>
      </c>
      <c r="V54" s="78">
        <f>IF($T54&gt;$F$9,"",PRODUCT($U$17:$U54))</f>
        <v>0.40118436874327418</v>
      </c>
      <c r="W54" s="78"/>
    </row>
    <row r="55" spans="1:23" ht="13.8">
      <c r="A55" s="98">
        <f t="shared" ca="1" si="2"/>
        <v>1</v>
      </c>
      <c r="B55" s="95">
        <v>38</v>
      </c>
      <c r="C55" s="24">
        <f t="shared" si="3"/>
        <v>38</v>
      </c>
      <c r="D55" s="25">
        <f t="shared" ca="1" si="8"/>
        <v>47061</v>
      </c>
      <c r="E55" s="26">
        <f ca="1">IF($C55&lt;=$F$9,IF((H54+G55)&gt;(Калькулятор!$W$17),ROUNDUP((Калькулятор!$W$17)*A55,2),(H54+G55)),"")</f>
        <v>51733.61</v>
      </c>
      <c r="F55" s="26">
        <f t="shared" ca="1" si="4"/>
        <v>16217.042777092815</v>
      </c>
      <c r="G55" s="26">
        <f t="shared" ca="1" si="5"/>
        <v>35516.567222907186</v>
      </c>
      <c r="H55" s="26">
        <f t="shared" ca="1" si="6"/>
        <v>1404950.5071506845</v>
      </c>
      <c r="J55" s="92">
        <f t="shared" si="7"/>
        <v>0.2999</v>
      </c>
      <c r="T55" s="24">
        <f t="shared" si="9"/>
        <v>40</v>
      </c>
      <c r="U55" s="78">
        <f t="shared" si="1"/>
        <v>0.97561768794868242</v>
      </c>
      <c r="V55" s="78">
        <f>IF($T55&gt;$F$9,"",PRODUCT($U$17:$U55))</f>
        <v>0.39140256627446479</v>
      </c>
      <c r="W55" s="78"/>
    </row>
    <row r="56" spans="1:23" ht="13.8">
      <c r="A56" s="98">
        <f t="shared" ca="1" si="2"/>
        <v>1</v>
      </c>
      <c r="B56" s="95">
        <v>39</v>
      </c>
      <c r="C56" s="24">
        <f t="shared" si="3"/>
        <v>39</v>
      </c>
      <c r="D56" s="25">
        <f t="shared" ca="1" si="8"/>
        <v>47091</v>
      </c>
      <c r="E56" s="26">
        <f ca="1">IF($C56&lt;=$F$9,IF((H55+G56)&gt;(Калькулятор!$W$17),ROUNDUP((Калькулятор!$W$17)*A56,2),(H55+G56)),"")</f>
        <v>51733.61</v>
      </c>
      <c r="F56" s="26">
        <f t="shared" ca="1" si="4"/>
        <v>16622.324821408176</v>
      </c>
      <c r="G56" s="26">
        <f t="shared" ca="1" si="5"/>
        <v>35111.285178591825</v>
      </c>
      <c r="H56" s="26">
        <f t="shared" ca="1" si="6"/>
        <v>1388328.1823292761</v>
      </c>
      <c r="J56" s="92">
        <f t="shared" si="7"/>
        <v>0.2999</v>
      </c>
      <c r="T56" s="24">
        <f t="shared" si="9"/>
        <v>41</v>
      </c>
      <c r="U56" s="78">
        <f t="shared" si="1"/>
        <v>0.97561768794868242</v>
      </c>
      <c r="V56" s="78">
        <f>IF($T56&gt;$F$9,"",PRODUCT($U$17:$U56))</f>
        <v>0.38185926676587428</v>
      </c>
      <c r="W56" s="78"/>
    </row>
    <row r="57" spans="1:23" ht="13.8">
      <c r="A57" s="98">
        <f t="shared" ca="1" si="2"/>
        <v>1</v>
      </c>
      <c r="B57" s="95">
        <v>40</v>
      </c>
      <c r="C57" s="24">
        <f t="shared" si="3"/>
        <v>40</v>
      </c>
      <c r="D57" s="25">
        <f t="shared" ca="1" si="8"/>
        <v>47122</v>
      </c>
      <c r="E57" s="26">
        <f ca="1">IF($C57&lt;=$F$9,IF((H56+G57)&gt;(Калькулятор!$W$17),ROUNDUP((Калькулятор!$W$17)*A57,2),(H56+G57)),"")</f>
        <v>51733.61</v>
      </c>
      <c r="F57" s="26">
        <f t="shared" ca="1" si="4"/>
        <v>17037.735317482722</v>
      </c>
      <c r="G57" s="26">
        <f t="shared" ca="1" si="5"/>
        <v>34695.874682517278</v>
      </c>
      <c r="H57" s="26">
        <f t="shared" ca="1" si="6"/>
        <v>1371290.4470117933</v>
      </c>
      <c r="J57" s="92">
        <f t="shared" si="7"/>
        <v>0.2999</v>
      </c>
      <c r="T57" s="24">
        <f t="shared" si="9"/>
        <v>42</v>
      </c>
      <c r="U57" s="78">
        <f t="shared" si="1"/>
        <v>0.97561768794868242</v>
      </c>
      <c r="V57" s="78">
        <f>IF($T57&gt;$F$9,"",PRODUCT($U$17:$U57))</f>
        <v>0.37254865496390144</v>
      </c>
      <c r="W57" s="78"/>
    </row>
    <row r="58" spans="1:23" ht="13.8">
      <c r="A58" s="98">
        <f t="shared" ca="1" si="2"/>
        <v>1</v>
      </c>
      <c r="B58" s="95">
        <v>41</v>
      </c>
      <c r="C58" s="24">
        <f t="shared" si="3"/>
        <v>41</v>
      </c>
      <c r="D58" s="25">
        <f t="shared" ca="1" si="8"/>
        <v>47153</v>
      </c>
      <c r="E58" s="26">
        <f ca="1">IF($C58&lt;=$F$9,IF((H57+G58)&gt;(Калькулятор!$W$17),ROUNDUP((Калькулятор!$W$17)*A58,2),(H57+G58)),"")</f>
        <v>51733.61</v>
      </c>
      <c r="F58" s="26">
        <f t="shared" ca="1" si="4"/>
        <v>17463.527386658687</v>
      </c>
      <c r="G58" s="26">
        <f t="shared" ca="1" si="5"/>
        <v>34270.082613341314</v>
      </c>
      <c r="H58" s="26">
        <f t="shared" ca="1" si="6"/>
        <v>1353826.9196251344</v>
      </c>
      <c r="J58" s="92">
        <f t="shared" si="7"/>
        <v>0.2999</v>
      </c>
      <c r="T58" s="24">
        <f t="shared" si="9"/>
        <v>43</v>
      </c>
      <c r="U58" s="78">
        <f t="shared" si="1"/>
        <v>0.97561768794868242</v>
      </c>
      <c r="V58" s="78">
        <f>IF($T58&gt;$F$9,"",PRODUCT($U$17:$U58))</f>
        <v>0.36346505740427293</v>
      </c>
      <c r="W58" s="78"/>
    </row>
    <row r="59" spans="1:23" ht="13.8">
      <c r="A59" s="98">
        <f t="shared" ca="1" si="2"/>
        <v>1</v>
      </c>
      <c r="B59" s="95">
        <v>42</v>
      </c>
      <c r="C59" s="24">
        <f t="shared" si="3"/>
        <v>42</v>
      </c>
      <c r="D59" s="25">
        <f t="shared" ca="1" si="8"/>
        <v>47181</v>
      </c>
      <c r="E59" s="26">
        <f ca="1">IF($C59&lt;=$F$9,IF((H58+G59)&gt;(Калькулятор!$W$17),ROUNDUP((Калькулятор!$W$17)*A59,2),(H58+G59)),"")</f>
        <v>51733.61</v>
      </c>
      <c r="F59" s="26">
        <f t="shared" ca="1" si="4"/>
        <v>17899.960476063847</v>
      </c>
      <c r="G59" s="26">
        <f t="shared" ca="1" si="5"/>
        <v>33833.649523936154</v>
      </c>
      <c r="H59" s="26">
        <f t="shared" ca="1" si="6"/>
        <v>1335926.9591490705</v>
      </c>
      <c r="J59" s="92">
        <f t="shared" si="7"/>
        <v>0.2999</v>
      </c>
      <c r="T59" s="24">
        <f t="shared" si="9"/>
        <v>44</v>
      </c>
      <c r="U59" s="78">
        <f t="shared" si="1"/>
        <v>0.97561768794868242</v>
      </c>
      <c r="V59" s="78">
        <f>IF($T59&gt;$F$9,"",PRODUCT($U$17:$U59))</f>
        <v>0.35460293895489187</v>
      </c>
      <c r="W59" s="78"/>
    </row>
    <row r="60" spans="1:23" ht="13.8">
      <c r="A60" s="98">
        <f t="shared" ca="1" si="2"/>
        <v>1</v>
      </c>
      <c r="B60" s="95">
        <v>43</v>
      </c>
      <c r="C60" s="24">
        <f t="shared" si="3"/>
        <v>43</v>
      </c>
      <c r="D60" s="25">
        <f t="shared" ca="1" si="8"/>
        <v>47212</v>
      </c>
      <c r="E60" s="26">
        <f ca="1">IF($C60&lt;=$F$9,IF((H59+G60)&gt;(Калькулятор!$W$17),ROUNDUP((Калькулятор!$W$17)*A60,2),(H59+G60)),"")</f>
        <v>51733.61</v>
      </c>
      <c r="F60" s="26">
        <f t="shared" ca="1" si="4"/>
        <v>18347.300516700023</v>
      </c>
      <c r="G60" s="26">
        <f t="shared" ca="1" si="5"/>
        <v>33386.309483299978</v>
      </c>
      <c r="H60" s="26">
        <f t="shared" ca="1" si="6"/>
        <v>1317579.6586323704</v>
      </c>
      <c r="J60" s="92">
        <f t="shared" si="7"/>
        <v>0.2999</v>
      </c>
      <c r="T60" s="24">
        <f t="shared" si="9"/>
        <v>45</v>
      </c>
      <c r="U60" s="78">
        <f t="shared" si="1"/>
        <v>0.97561768794868242</v>
      </c>
      <c r="V60" s="78">
        <f>IF($T60&gt;$F$9,"",PRODUCT($U$17:$U60))</f>
        <v>0.34595689944297936</v>
      </c>
      <c r="W60" s="78"/>
    </row>
    <row r="61" spans="1:23" ht="13.8">
      <c r="A61" s="98">
        <f t="shared" ca="1" si="2"/>
        <v>1</v>
      </c>
      <c r="B61" s="95">
        <v>44</v>
      </c>
      <c r="C61" s="24">
        <f t="shared" si="3"/>
        <v>44</v>
      </c>
      <c r="D61" s="25">
        <f t="shared" ca="1" si="8"/>
        <v>47242</v>
      </c>
      <c r="E61" s="26">
        <f ca="1">IF($C61&lt;=$F$9,IF((H60+G61)&gt;(Калькулятор!$W$17),ROUNDUP((Калькулятор!$W$17)*A61,2),(H60+G61)),"")</f>
        <v>51733.61</v>
      </c>
      <c r="F61" s="26">
        <f t="shared" ca="1" si="4"/>
        <v>18805.820085482308</v>
      </c>
      <c r="G61" s="26">
        <f t="shared" ca="1" si="5"/>
        <v>32927.789914517693</v>
      </c>
      <c r="H61" s="26">
        <f t="shared" ca="1" si="6"/>
        <v>1298773.838546888</v>
      </c>
      <c r="J61" s="92">
        <f t="shared" si="7"/>
        <v>0.2999</v>
      </c>
      <c r="T61" s="24">
        <f t="shared" si="9"/>
        <v>46</v>
      </c>
      <c r="U61" s="78">
        <f t="shared" si="1"/>
        <v>0.97561768794868242</v>
      </c>
      <c r="V61" s="78">
        <f>IF($T61&gt;$F$9,"",PRODUCT($U$17:$U61))</f>
        <v>0.33752167036445435</v>
      </c>
      <c r="W61" s="78"/>
    </row>
    <row r="62" spans="1:23" ht="13.8">
      <c r="A62" s="98">
        <f t="shared" ca="1" si="2"/>
        <v>1</v>
      </c>
      <c r="B62" s="95">
        <v>45</v>
      </c>
      <c r="C62" s="24">
        <f t="shared" si="3"/>
        <v>45</v>
      </c>
      <c r="D62" s="25">
        <f t="shared" ca="1" si="8"/>
        <v>47273</v>
      </c>
      <c r="E62" s="26">
        <f ca="1">IF($C62&lt;=$F$9,IF((H61+G62)&gt;(Калькулятор!$W$17),ROUNDUP((Калькулятор!$W$17)*A62,2),(H61+G62)),"")</f>
        <v>51733.61</v>
      </c>
      <c r="F62" s="26">
        <f t="shared" ca="1" si="4"/>
        <v>19275.79857132789</v>
      </c>
      <c r="G62" s="26">
        <f t="shared" ca="1" si="5"/>
        <v>32457.81142867211</v>
      </c>
      <c r="H62" s="26">
        <f t="shared" ca="1" si="6"/>
        <v>1279498.03997556</v>
      </c>
      <c r="J62" s="92">
        <f t="shared" si="7"/>
        <v>0.2999</v>
      </c>
      <c r="T62" s="24">
        <f t="shared" si="9"/>
        <v>47</v>
      </c>
      <c r="U62" s="78">
        <f t="shared" si="1"/>
        <v>0.97561768794868242</v>
      </c>
      <c r="V62" s="78">
        <f>IF($T62&gt;$F$9,"",PRODUCT($U$17:$U62))</f>
        <v>0.32929211167354627</v>
      </c>
      <c r="W62" s="78"/>
    </row>
    <row r="63" spans="1:23" ht="13.8">
      <c r="A63" s="98">
        <f t="shared" ca="1" si="2"/>
        <v>1</v>
      </c>
      <c r="B63" s="95">
        <v>46</v>
      </c>
      <c r="C63" s="24">
        <f t="shared" si="3"/>
        <v>46</v>
      </c>
      <c r="D63" s="25">
        <f t="shared" ca="1" si="8"/>
        <v>47303</v>
      </c>
      <c r="E63" s="26">
        <f ca="1">IF($C63&lt;=$F$9,IF((H62+G63)&gt;(Калькулятор!$W$17),ROUNDUP((Калькулятор!$W$17)*A63,2),(H62+G63)),"")</f>
        <v>51733.61</v>
      </c>
      <c r="F63" s="26">
        <f t="shared" ca="1" si="4"/>
        <v>19757.522345395613</v>
      </c>
      <c r="G63" s="26">
        <f t="shared" ca="1" si="5"/>
        <v>31976.087654604387</v>
      </c>
      <c r="H63" s="26">
        <f t="shared" ca="1" si="6"/>
        <v>1259740.5176301643</v>
      </c>
      <c r="J63" s="92">
        <f t="shared" si="7"/>
        <v>0.2999</v>
      </c>
      <c r="T63" s="24">
        <f t="shared" si="9"/>
        <v>48</v>
      </c>
      <c r="U63" s="78">
        <f t="shared" si="1"/>
        <v>0.97561768794868242</v>
      </c>
      <c r="V63" s="78">
        <f>IF($T63&gt;$F$9,"",PRODUCT($U$17:$U63))</f>
        <v>0.32126320865068453</v>
      </c>
      <c r="W63" s="78"/>
    </row>
    <row r="64" spans="1:23" ht="13.8">
      <c r="A64" s="98">
        <f t="shared" ca="1" si="2"/>
        <v>1</v>
      </c>
      <c r="B64" s="95">
        <v>47</v>
      </c>
      <c r="C64" s="24">
        <f t="shared" si="3"/>
        <v>47</v>
      </c>
      <c r="D64" s="25">
        <f t="shared" ca="1" si="8"/>
        <v>47334</v>
      </c>
      <c r="E64" s="26">
        <f ca="1">IF($C64&lt;=$F$9,IF((H63+G64)&gt;(Калькулятор!$W$17),ROUNDUP((Калькулятор!$W$17)*A64,2),(H63+G64)),"")</f>
        <v>51733.61</v>
      </c>
      <c r="F64" s="26">
        <f t="shared" ca="1" si="4"/>
        <v>20251.284935580006</v>
      </c>
      <c r="G64" s="26">
        <f t="shared" ca="1" si="5"/>
        <v>31482.325064419994</v>
      </c>
      <c r="H64" s="26">
        <f t="shared" ca="1" si="6"/>
        <v>1239489.2326945842</v>
      </c>
      <c r="J64" s="92">
        <f t="shared" si="7"/>
        <v>0.2999</v>
      </c>
      <c r="T64" s="24">
        <f t="shared" si="9"/>
        <v>49</v>
      </c>
      <c r="U64" s="78">
        <f t="shared" si="1"/>
        <v>0.97561768794868242</v>
      </c>
      <c r="V64" s="78">
        <f>IF($T64&gt;$F$9,"",PRODUCT($U$17:$U64))</f>
        <v>0.313430068846756</v>
      </c>
      <c r="W64" s="78"/>
    </row>
    <row r="65" spans="1:23" ht="13.8">
      <c r="A65" s="98">
        <f t="shared" ca="1" si="2"/>
        <v>1</v>
      </c>
      <c r="B65" s="95">
        <v>48</v>
      </c>
      <c r="C65" s="24">
        <f t="shared" si="3"/>
        <v>48</v>
      </c>
      <c r="D65" s="25">
        <f t="shared" ca="1" si="8"/>
        <v>47365</v>
      </c>
      <c r="E65" s="26">
        <f ca="1">IF($C65&lt;=$F$9,IF((H64+G65)&gt;(Калькулятор!$W$17),ROUNDUP((Калькулятор!$W$17)*A65,2),(H64+G65)),"")</f>
        <v>51733.61</v>
      </c>
      <c r="F65" s="26">
        <f t="shared" ca="1" si="4"/>
        <v>20757.387205366089</v>
      </c>
      <c r="G65" s="26">
        <f t="shared" ca="1" si="5"/>
        <v>30976.222794633912</v>
      </c>
      <c r="H65" s="26">
        <f t="shared" ca="1" si="6"/>
        <v>1218731.8454892179</v>
      </c>
      <c r="J65" s="92">
        <f t="shared" si="7"/>
        <v>0.2999</v>
      </c>
      <c r="T65" s="24">
        <f t="shared" si="9"/>
        <v>50</v>
      </c>
      <c r="U65" s="78">
        <f t="shared" si="1"/>
        <v>0.97561768794868242</v>
      </c>
      <c r="V65" s="78">
        <f>IF($T65&gt;$F$9,"",PRODUCT($U$17:$U65))</f>
        <v>0.30578791910186842</v>
      </c>
      <c r="W65" s="78"/>
    </row>
    <row r="66" spans="1:23" ht="13.8">
      <c r="A66" s="98">
        <f t="shared" ca="1" si="2"/>
        <v>1</v>
      </c>
      <c r="B66" s="95">
        <v>49</v>
      </c>
      <c r="C66" s="24">
        <f t="shared" si="3"/>
        <v>49</v>
      </c>
      <c r="D66" s="25">
        <f t="shared" ca="1" si="8"/>
        <v>47395</v>
      </c>
      <c r="E66" s="26">
        <f ca="1">IF($C66&lt;=$F$9,IF((H65+G66)&gt;(Калькулятор!$W$17),ROUNDUP((Калькулятор!$W$17)*A66,2),(H65+G66)),"")</f>
        <v>51733.61</v>
      </c>
      <c r="F66" s="26">
        <f t="shared" ca="1" si="4"/>
        <v>21276.137537154042</v>
      </c>
      <c r="G66" s="26">
        <f t="shared" ca="1" si="5"/>
        <v>30457.472462845959</v>
      </c>
      <c r="H66" s="26">
        <f t="shared" ca="1" si="6"/>
        <v>1197455.7079520638</v>
      </c>
      <c r="J66" s="92">
        <f t="shared" si="7"/>
        <v>0.2999</v>
      </c>
      <c r="T66" s="24">
        <f t="shared" si="9"/>
        <v>51</v>
      </c>
      <c r="U66" s="78">
        <f t="shared" si="1"/>
        <v>0.97561768794868242</v>
      </c>
      <c r="V66" s="78">
        <f>IF($T66&gt;$F$9,"",PRODUCT($U$17:$U66))</f>
        <v>0.2983321026368036</v>
      </c>
      <c r="W66" s="78"/>
    </row>
    <row r="67" spans="1:23" ht="13.8">
      <c r="A67" s="98">
        <f t="shared" ca="1" si="2"/>
        <v>1</v>
      </c>
      <c r="B67" s="95">
        <v>50</v>
      </c>
      <c r="C67" s="24">
        <f t="shared" si="3"/>
        <v>50</v>
      </c>
      <c r="D67" s="25">
        <f t="shared" ca="1" si="8"/>
        <v>47426</v>
      </c>
      <c r="E67" s="26">
        <f ca="1">IF($C67&lt;=$F$9,IF((H66+G67)&gt;(Калькулятор!$W$17),ROUNDUP((Калькулятор!$W$17)*A67,2),(H66+G67)),"")</f>
        <v>51733.61</v>
      </c>
      <c r="F67" s="26">
        <f t="shared" ca="1" si="4"/>
        <v>21807.85202016525</v>
      </c>
      <c r="G67" s="26">
        <f t="shared" ca="1" si="5"/>
        <v>29925.757979834751</v>
      </c>
      <c r="H67" s="26">
        <f t="shared" ca="1" si="6"/>
        <v>1175647.8559318983</v>
      </c>
      <c r="J67" s="92">
        <f t="shared" si="7"/>
        <v>0.2999</v>
      </c>
      <c r="T67" s="24">
        <f t="shared" si="9"/>
        <v>52</v>
      </c>
      <c r="U67" s="78">
        <f t="shared" si="1"/>
        <v>0.97561768794868242</v>
      </c>
      <c r="V67" s="78">
        <f>IF($T67&gt;$F$9,"",PRODUCT($U$17:$U67))</f>
        <v>0.29105807621538737</v>
      </c>
      <c r="W67" s="78"/>
    </row>
    <row r="68" spans="1:23" ht="13.8">
      <c r="A68" s="98">
        <f t="shared" ca="1" si="2"/>
        <v>1</v>
      </c>
      <c r="B68" s="95">
        <v>51</v>
      </c>
      <c r="C68" s="24">
        <f t="shared" si="3"/>
        <v>51</v>
      </c>
      <c r="D68" s="25">
        <f t="shared" ca="1" si="8"/>
        <v>47456</v>
      </c>
      <c r="E68" s="26">
        <f ca="1">IF($C68&lt;=$F$9,IF((H67+G68)&gt;(Калькулятор!$W$17),ROUNDUP((Калькулятор!$W$17)*A68,2),(H67+G68)),"")</f>
        <v>51733.61</v>
      </c>
      <c r="F68" s="26">
        <f t="shared" ca="1" si="4"/>
        <v>22352.854643044429</v>
      </c>
      <c r="G68" s="26">
        <f t="shared" ca="1" si="5"/>
        <v>29380.755356955571</v>
      </c>
      <c r="H68" s="26">
        <f t="shared" ca="1" si="6"/>
        <v>1153295.0012888538</v>
      </c>
      <c r="J68" s="92">
        <f t="shared" si="7"/>
        <v>0.2999</v>
      </c>
      <c r="T68" s="24">
        <f t="shared" si="9"/>
        <v>53</v>
      </c>
      <c r="U68" s="78">
        <f t="shared" si="1"/>
        <v>0.97561768794868242</v>
      </c>
      <c r="V68" s="78">
        <f>IF($T68&gt;$F$9,"",PRODUCT($U$17:$U68))</f>
        <v>0.28396140737604764</v>
      </c>
      <c r="W68" s="78"/>
    </row>
    <row r="69" spans="1:23" ht="13.8">
      <c r="A69" s="98">
        <f t="shared" ca="1" si="2"/>
        <v>1</v>
      </c>
      <c r="B69" s="95">
        <v>52</v>
      </c>
      <c r="C69" s="24">
        <f t="shared" si="3"/>
        <v>52</v>
      </c>
      <c r="D69" s="25">
        <f t="shared" ca="1" si="8"/>
        <v>47487</v>
      </c>
      <c r="E69" s="26">
        <f ca="1">IF($C69&lt;=$F$9,IF((H68+G69)&gt;(Калькулятор!$W$17),ROUNDUP((Калькулятор!$W$17)*A69,2),(H68+G69)),"")</f>
        <v>51733.61</v>
      </c>
      <c r="F69" s="26">
        <f t="shared" ca="1" si="4"/>
        <v>22911.477491275033</v>
      </c>
      <c r="G69" s="26">
        <f t="shared" ca="1" si="5"/>
        <v>28822.132508724968</v>
      </c>
      <c r="H69" s="26">
        <f t="shared" ca="1" si="6"/>
        <v>1130383.5237975786</v>
      </c>
      <c r="J69" s="92">
        <f t="shared" si="7"/>
        <v>0.2999</v>
      </c>
      <c r="T69" s="24">
        <f t="shared" si="9"/>
        <v>54</v>
      </c>
      <c r="U69" s="78">
        <f t="shared" si="1"/>
        <v>0.97561768794868242</v>
      </c>
      <c r="V69" s="78">
        <f>IF($T69&gt;$F$9,"",PRODUCT($U$17:$U69))</f>
        <v>0.27703777173087352</v>
      </c>
      <c r="W69" s="78"/>
    </row>
    <row r="70" spans="1:23" ht="13.8">
      <c r="A70" s="98">
        <f t="shared" ca="1" si="2"/>
        <v>1</v>
      </c>
      <c r="B70" s="95">
        <v>53</v>
      </c>
      <c r="C70" s="24">
        <f t="shared" si="3"/>
        <v>53</v>
      </c>
      <c r="D70" s="25">
        <f t="shared" ca="1" si="8"/>
        <v>47518</v>
      </c>
      <c r="E70" s="26">
        <f ca="1">IF($C70&lt;=$F$9,IF((H69+G70)&gt;(Калькулятор!$W$17),ROUNDUP((Калькулятор!$W$17)*A70,2),(H69+G70)),"")</f>
        <v>51733.61</v>
      </c>
      <c r="F70" s="26">
        <f t="shared" ca="1" si="4"/>
        <v>23484.060949528324</v>
      </c>
      <c r="G70" s="26">
        <f t="shared" ca="1" si="5"/>
        <v>28249.549050471676</v>
      </c>
      <c r="H70" s="26">
        <f t="shared" ca="1" si="6"/>
        <v>1106899.4628480503</v>
      </c>
      <c r="J70" s="92">
        <f t="shared" si="7"/>
        <v>0.2999</v>
      </c>
      <c r="T70" s="24">
        <f t="shared" si="9"/>
        <v>55</v>
      </c>
      <c r="U70" s="78">
        <f t="shared" si="1"/>
        <v>0.97561768794868242</v>
      </c>
      <c r="V70" s="78">
        <f>IF($T70&gt;$F$9,"",PRODUCT($U$17:$U70))</f>
        <v>0.27028295033052968</v>
      </c>
      <c r="W70" s="78"/>
    </row>
    <row r="71" spans="1:23" ht="13.8">
      <c r="A71" s="98">
        <f t="shared" ca="1" si="2"/>
        <v>1</v>
      </c>
      <c r="B71" s="95">
        <v>54</v>
      </c>
      <c r="C71" s="24">
        <f t="shared" si="3"/>
        <v>54</v>
      </c>
      <c r="D71" s="25">
        <f t="shared" ca="1" si="8"/>
        <v>47546</v>
      </c>
      <c r="E71" s="26">
        <f ca="1">IF($C71&lt;=$F$9,IF((H70+G71)&gt;(Калькулятор!$W$17),ROUNDUP((Калькулятор!$W$17)*A71,2),(H70+G71)),"")</f>
        <v>51733.61</v>
      </c>
      <c r="F71" s="26">
        <f t="shared" ca="1" si="4"/>
        <v>24070.953909069336</v>
      </c>
      <c r="G71" s="26">
        <f t="shared" ca="1" si="5"/>
        <v>27662.656090930665</v>
      </c>
      <c r="H71" s="26">
        <f t="shared" ca="1" si="6"/>
        <v>1082828.5089389808</v>
      </c>
      <c r="J71" s="92">
        <f t="shared" si="7"/>
        <v>0.2999</v>
      </c>
      <c r="T71" s="24">
        <f t="shared" si="9"/>
        <v>56</v>
      </c>
      <c r="U71" s="78">
        <f t="shared" si="1"/>
        <v>0.97561768794868242</v>
      </c>
      <c r="V71" s="78">
        <f>IF($T71&gt;$F$9,"",PRODUCT($U$17:$U71))</f>
        <v>0.26369282709341996</v>
      </c>
      <c r="W71" s="78"/>
    </row>
    <row r="72" spans="1:23" ht="13.8">
      <c r="A72" s="98">
        <f t="shared" ca="1" si="2"/>
        <v>1</v>
      </c>
      <c r="B72" s="95">
        <v>55</v>
      </c>
      <c r="C72" s="24">
        <f t="shared" si="3"/>
        <v>55</v>
      </c>
      <c r="D72" s="25">
        <f t="shared" ca="1" si="8"/>
        <v>47577</v>
      </c>
      <c r="E72" s="26">
        <f ca="1">IF($C72&lt;=$F$9,IF((H71+G72)&gt;(Калькулятор!$W$17),ROUNDUP((Калькулятор!$W$17)*A72,2),(H71+G72)),"")</f>
        <v>51733.61</v>
      </c>
      <c r="F72" s="26">
        <f t="shared" ca="1" si="4"/>
        <v>24672.513980346241</v>
      </c>
      <c r="G72" s="26">
        <f t="shared" ca="1" si="5"/>
        <v>27061.09601965376</v>
      </c>
      <c r="H72" s="26">
        <f t="shared" ca="1" si="6"/>
        <v>1058155.9949586345</v>
      </c>
      <c r="J72" s="92">
        <f t="shared" si="7"/>
        <v>0.2999</v>
      </c>
      <c r="T72" s="24">
        <f t="shared" si="9"/>
        <v>57</v>
      </c>
      <c r="U72" s="78">
        <f t="shared" si="1"/>
        <v>0.97561768794868242</v>
      </c>
      <c r="V72" s="78">
        <f>IF($T72&gt;$F$9,"",PRODUCT($U$17:$U72))</f>
        <v>0.25726338629753404</v>
      </c>
      <c r="W72" s="78"/>
    </row>
    <row r="73" spans="1:23" ht="13.8">
      <c r="A73" s="98">
        <f t="shared" ca="1" si="2"/>
        <v>1</v>
      </c>
      <c r="B73" s="95">
        <v>56</v>
      </c>
      <c r="C73" s="24">
        <f t="shared" si="3"/>
        <v>56</v>
      </c>
      <c r="D73" s="25">
        <f t="shared" ca="1" si="8"/>
        <v>47607</v>
      </c>
      <c r="E73" s="26">
        <f ca="1">IF($C73&lt;=$F$9,IF((H72+G73)&gt;(Калькулятор!$W$17),ROUNDUP((Калькулятор!$W$17)*A73,2),(H72+G73)),"")</f>
        <v>51733.61</v>
      </c>
      <c r="F73" s="26">
        <f t="shared" ca="1" si="4"/>
        <v>25289.107710892378</v>
      </c>
      <c r="G73" s="26">
        <f t="shared" ca="1" si="5"/>
        <v>26444.502289107622</v>
      </c>
      <c r="H73" s="26">
        <f t="shared" ca="1" si="6"/>
        <v>1032866.887247742</v>
      </c>
      <c r="J73" s="92">
        <f t="shared" si="7"/>
        <v>0.2999</v>
      </c>
      <c r="T73" s="24">
        <f t="shared" si="9"/>
        <v>58</v>
      </c>
      <c r="U73" s="78">
        <f t="shared" si="1"/>
        <v>0.97561768794868242</v>
      </c>
      <c r="V73" s="78">
        <f>IF($T73&gt;$F$9,"",PRODUCT($U$17:$U73))</f>
        <v>0.25099071013344892</v>
      </c>
      <c r="W73" s="78"/>
    </row>
    <row r="74" spans="1:23" ht="13.8">
      <c r="A74" s="98">
        <f t="shared" ca="1" si="2"/>
        <v>1</v>
      </c>
      <c r="B74" s="95">
        <v>57</v>
      </c>
      <c r="C74" s="24">
        <f t="shared" si="3"/>
        <v>57</v>
      </c>
      <c r="D74" s="25">
        <f t="shared" ca="1" si="8"/>
        <v>47638</v>
      </c>
      <c r="E74" s="26">
        <f ca="1">IF($C74&lt;=$F$9,IF((H73+G74)&gt;(Калькулятор!$W$17),ROUNDUP((Калькулятор!$W$17)*A74,2),(H73+G74)),"")</f>
        <v>51733.61</v>
      </c>
      <c r="F74" s="26">
        <f t="shared" ca="1" si="4"/>
        <v>25921.110808674122</v>
      </c>
      <c r="G74" s="26">
        <f t="shared" ca="1" si="5"/>
        <v>25812.499191325878</v>
      </c>
      <c r="H74" s="26">
        <f t="shared" ca="1" si="6"/>
        <v>1006945.776439068</v>
      </c>
      <c r="J74" s="92">
        <f t="shared" si="7"/>
        <v>0.2999</v>
      </c>
      <c r="T74" s="24">
        <f t="shared" si="9"/>
        <v>59</v>
      </c>
      <c r="U74" s="78">
        <f t="shared" si="1"/>
        <v>0.97561768794868242</v>
      </c>
      <c r="V74" s="78">
        <f>IF($T74&gt;$F$9,"",PRODUCT($U$17:$U74))</f>
        <v>0.24487097631699337</v>
      </c>
      <c r="W74" s="78"/>
    </row>
    <row r="75" spans="1:23" ht="13.8">
      <c r="A75" s="98">
        <f t="shared" ca="1" si="2"/>
        <v>1</v>
      </c>
      <c r="B75" s="95">
        <v>58</v>
      </c>
      <c r="C75" s="24">
        <f t="shared" si="3"/>
        <v>58</v>
      </c>
      <c r="D75" s="25">
        <f t="shared" ca="1" si="8"/>
        <v>47668</v>
      </c>
      <c r="E75" s="26">
        <f ca="1">IF($C75&lt;=$F$9,IF((H74+G75)&gt;(Калькулятор!$W$17),ROUNDUP((Калькулятор!$W$17)*A75,2),(H74+G75)),"")</f>
        <v>51733.61</v>
      </c>
      <c r="F75" s="26">
        <f t="shared" ca="1" si="4"/>
        <v>26568.908371020298</v>
      </c>
      <c r="G75" s="26">
        <f t="shared" ca="1" si="5"/>
        <v>25164.701628979703</v>
      </c>
      <c r="H75" s="26">
        <f t="shared" ca="1" si="6"/>
        <v>980376.86806804768</v>
      </c>
      <c r="J75" s="92">
        <f t="shared" si="7"/>
        <v>0.2999</v>
      </c>
      <c r="T75" s="24">
        <f t="shared" si="9"/>
        <v>60</v>
      </c>
      <c r="U75" s="78">
        <f t="shared" si="1"/>
        <v>0.97561768794868242</v>
      </c>
      <c r="V75" s="78">
        <f>IF($T75&gt;$F$9,"",PRODUCT($U$17:$U75))</f>
        <v>0.23890045576012164</v>
      </c>
      <c r="W75" s="78"/>
    </row>
    <row r="76" spans="1:23" ht="13.8">
      <c r="A76" s="98">
        <f t="shared" ca="1" si="2"/>
        <v>1</v>
      </c>
      <c r="B76" s="95">
        <v>59</v>
      </c>
      <c r="C76" s="24">
        <f t="shared" si="3"/>
        <v>59</v>
      </c>
      <c r="D76" s="25">
        <f t="shared" ca="1" si="8"/>
        <v>47699</v>
      </c>
      <c r="E76" s="26">
        <f ca="1">IF($C76&lt;=$F$9,IF((H75+G76)&gt;(Калькулятор!$W$17),ROUNDUP((Калькулятор!$W$17)*A76,2),(H75+G76)),"")</f>
        <v>51733.61</v>
      </c>
      <c r="F76" s="26">
        <f t="shared" ca="1" si="4"/>
        <v>27232.895119272864</v>
      </c>
      <c r="G76" s="26">
        <f t="shared" ca="1" si="5"/>
        <v>24500.714880727137</v>
      </c>
      <c r="H76" s="26">
        <f t="shared" ca="1" si="6"/>
        <v>953143.97294877481</v>
      </c>
      <c r="J76" s="92">
        <f t="shared" si="7"/>
        <v>0.2999</v>
      </c>
      <c r="T76" s="24">
        <f t="shared" si="9"/>
        <v>61</v>
      </c>
      <c r="U76" s="78">
        <f t="shared" si="1"/>
        <v>0.97561768794868242</v>
      </c>
      <c r="V76" s="78">
        <f>IF($T76&gt;$F$9,"",PRODUCT($U$17:$U76))</f>
        <v>0.23307551029857637</v>
      </c>
      <c r="W76" s="78"/>
    </row>
    <row r="77" spans="1:23" ht="13.8">
      <c r="A77" s="98">
        <f t="shared" ca="1" si="2"/>
        <v>1</v>
      </c>
      <c r="B77" s="95">
        <v>60</v>
      </c>
      <c r="C77" s="24">
        <f t="shared" si="3"/>
        <v>60</v>
      </c>
      <c r="D77" s="25">
        <f t="shared" ca="1" si="8"/>
        <v>47730</v>
      </c>
      <c r="E77" s="26">
        <f ca="1">IF($C77&lt;=$F$9,IF((H76+G77)&gt;(Калькулятор!$W$17),ROUNDUP((Калькулятор!$W$17)*A77,2),(H76+G77)),"")</f>
        <v>51733.61</v>
      </c>
      <c r="F77" s="26">
        <f t="shared" ca="1" si="4"/>
        <v>27913.475639301756</v>
      </c>
      <c r="G77" s="26">
        <f t="shared" ca="1" si="5"/>
        <v>23820.134360698245</v>
      </c>
      <c r="H77" s="26">
        <f ca="1">IF($C77&lt;=$F$9,H76+G77-E77,"")</f>
        <v>925230.49730947311</v>
      </c>
      <c r="J77" s="92">
        <f t="shared" si="7"/>
        <v>0.2999</v>
      </c>
      <c r="T77" s="24">
        <f t="shared" si="9"/>
        <v>62</v>
      </c>
      <c r="U77" s="78">
        <f t="shared" si="1"/>
        <v>0.97561768794868242</v>
      </c>
      <c r="V77" s="78">
        <f>IF($T77&gt;$F$9,"",PRODUCT($U$17:$U77))</f>
        <v>0.22739259047495639</v>
      </c>
      <c r="W77" s="78"/>
    </row>
    <row r="78" spans="1:23" ht="13.8">
      <c r="A78" s="98">
        <f t="shared" ref="A78:A98" ca="1" si="10">IF(H77&gt;0.3,1,0)</f>
        <v>1</v>
      </c>
      <c r="B78" s="95">
        <v>61</v>
      </c>
      <c r="C78" s="24">
        <f t="shared" ref="C78:C98" si="11">IF($B78&lt;=$F$9,B78,"")</f>
        <v>61</v>
      </c>
      <c r="D78" s="25">
        <f t="shared" ca="1" si="8"/>
        <v>47760</v>
      </c>
      <c r="E78" s="26">
        <f ca="1">IF($C78&lt;=$F$9,IF((H77+G78)&gt;(Калькулятор!$W$17),ROUNDUP((Калькулятор!$W$17)*A78,2),(H77+G78)),"")</f>
        <v>51733.61</v>
      </c>
      <c r="F78" s="26">
        <f t="shared" ref="F78:F98" ca="1" si="12">IF($C78&lt;=$F$9,E78-G78,"")</f>
        <v>28611.064628030512</v>
      </c>
      <c r="G78" s="26">
        <f t="shared" ref="G78:G98" ca="1" si="13">IF($C78&lt;=$F$9,H77*J78/365*30.416,"")</f>
        <v>23122.545371969489</v>
      </c>
      <c r="H78" s="26">
        <f t="shared" ref="H78:H97" ca="1" si="14">IF($C78&lt;=$F$9,H77+G78-E78,"")</f>
        <v>896619.43268144259</v>
      </c>
      <c r="J78" s="92">
        <f t="shared" ref="J78:J98" si="15">IF(C78&lt;=$B$9,$F$11,$F$12)</f>
        <v>0.2999</v>
      </c>
      <c r="T78" s="24">
        <f t="shared" si="9"/>
        <v>63</v>
      </c>
      <c r="U78" s="78">
        <f t="shared" si="1"/>
        <v>0.97561768794868242</v>
      </c>
      <c r="V78" s="78">
        <f>IF($T78&gt;$F$9,"",PRODUCT($U$17:$U78))</f>
        <v>0.22184823337583853</v>
      </c>
      <c r="W78" s="78"/>
    </row>
    <row r="79" spans="1:23" ht="13.8">
      <c r="A79" s="98">
        <f t="shared" ca="1" si="10"/>
        <v>1</v>
      </c>
      <c r="B79" s="95">
        <v>62</v>
      </c>
      <c r="C79" s="24">
        <f t="shared" si="11"/>
        <v>62</v>
      </c>
      <c r="D79" s="25">
        <f t="shared" ca="1" si="8"/>
        <v>47791</v>
      </c>
      <c r="E79" s="26">
        <f ca="1">IF($C79&lt;=$F$9,IF((H78+G79)&gt;(Калькулятор!$W$17),ROUNDUP((Калькулятор!$W$17)*A79,2),(H78+G79)),"")</f>
        <v>51733.61</v>
      </c>
      <c r="F79" s="26">
        <f t="shared" ca="1" si="12"/>
        <v>29326.087146122787</v>
      </c>
      <c r="G79" s="26">
        <f t="shared" ca="1" si="13"/>
        <v>22407.522853877213</v>
      </c>
      <c r="H79" s="26">
        <f t="shared" ca="1" si="14"/>
        <v>867293.34553531976</v>
      </c>
      <c r="J79" s="92">
        <f t="shared" si="15"/>
        <v>0.2999</v>
      </c>
      <c r="T79" s="24">
        <f t="shared" si="9"/>
        <v>64</v>
      </c>
      <c r="U79" s="78">
        <f t="shared" si="1"/>
        <v>0.97561768794868242</v>
      </c>
      <c r="V79" s="78">
        <f>IF($T79&gt;$F$9,"",PRODUCT($U$17:$U79))</f>
        <v>0.21643906052163531</v>
      </c>
      <c r="W79" s="78"/>
    </row>
    <row r="80" spans="1:23" ht="13.8">
      <c r="A80" s="98">
        <f t="shared" ca="1" si="10"/>
        <v>1</v>
      </c>
      <c r="B80" s="95">
        <v>63</v>
      </c>
      <c r="C80" s="24">
        <f t="shared" si="11"/>
        <v>63</v>
      </c>
      <c r="D80" s="25">
        <f t="shared" ca="1" si="8"/>
        <v>47821</v>
      </c>
      <c r="E80" s="26">
        <f ca="1">IF($C80&lt;=$F$9,IF((H79+G80)&gt;(Калькулятор!$W$17),ROUNDUP((Калькулятор!$W$17)*A80,2),(H79+G80)),"")</f>
        <v>51733.61</v>
      </c>
      <c r="F80" s="26">
        <f t="shared" ca="1" si="12"/>
        <v>30058.978876983823</v>
      </c>
      <c r="G80" s="26">
        <f t="shared" ca="1" si="13"/>
        <v>21674.631123016177</v>
      </c>
      <c r="H80" s="26">
        <f t="shared" ca="1" si="14"/>
        <v>837234.3666583359</v>
      </c>
      <c r="J80" s="92">
        <f t="shared" si="15"/>
        <v>0.2999</v>
      </c>
      <c r="T80" s="24">
        <f t="shared" ref="T80:T99" si="16">IF($B82&lt;=$F$9,B82,"")</f>
        <v>65</v>
      </c>
      <c r="U80" s="78">
        <f t="shared" si="1"/>
        <v>0.97561768794868242</v>
      </c>
      <c r="V80" s="78">
        <f>IF($T80&gt;$F$9,"",PRODUCT($U$17:$U80))</f>
        <v>0.2111617758079028</v>
      </c>
      <c r="W80" s="78"/>
    </row>
    <row r="81" spans="1:23" ht="13.8">
      <c r="A81" s="98">
        <f t="shared" ca="1" si="10"/>
        <v>1</v>
      </c>
      <c r="B81" s="95">
        <v>64</v>
      </c>
      <c r="C81" s="24">
        <f t="shared" si="11"/>
        <v>64</v>
      </c>
      <c r="D81" s="25">
        <f t="shared" ca="1" si="8"/>
        <v>47852</v>
      </c>
      <c r="E81" s="26">
        <f ca="1">IF($C81&lt;=$F$9,IF((H80+G81)&gt;(Калькулятор!$W$17),ROUNDUP((Калькулятор!$W$17)*A81,2),(H80+G81)),"")</f>
        <v>51733.61</v>
      </c>
      <c r="F81" s="26">
        <f t="shared" ca="1" si="12"/>
        <v>30810.186392234642</v>
      </c>
      <c r="G81" s="26">
        <f t="shared" ca="1" si="13"/>
        <v>20923.423607765359</v>
      </c>
      <c r="H81" s="26">
        <f t="shared" ca="1" si="14"/>
        <v>806424.18026610126</v>
      </c>
      <c r="J81" s="92">
        <f t="shared" si="15"/>
        <v>0.2999</v>
      </c>
      <c r="T81" s="24">
        <f t="shared" si="16"/>
        <v>66</v>
      </c>
      <c r="U81" s="78">
        <f t="shared" si="1"/>
        <v>0.97561768794868242</v>
      </c>
      <c r="V81" s="78">
        <f>IF($T81&gt;$F$9,"",PRODUCT($U$17:$U81))</f>
        <v>0.20601316349684415</v>
      </c>
      <c r="W81" s="78"/>
    </row>
    <row r="82" spans="1:23" ht="13.8">
      <c r="A82" s="98">
        <f t="shared" ca="1" si="10"/>
        <v>1</v>
      </c>
      <c r="B82" s="95">
        <v>65</v>
      </c>
      <c r="C82" s="24">
        <f t="shared" si="11"/>
        <v>65</v>
      </c>
      <c r="D82" s="25">
        <f t="shared" ca="1" si="8"/>
        <v>47883</v>
      </c>
      <c r="E82" s="26">
        <f ca="1">IF($C82&lt;=$F$9,IF((H81+G82)&gt;(Калькулятор!$W$17),ROUNDUP((Калькулятор!$W$17)*A82,2),(H81+G82)),"")</f>
        <v>51733.61</v>
      </c>
      <c r="F82" s="26">
        <f t="shared" ca="1" si="12"/>
        <v>31580.16742382076</v>
      </c>
      <c r="G82" s="26">
        <f t="shared" ca="1" si="13"/>
        <v>20153.442576179241</v>
      </c>
      <c r="H82" s="26">
        <f t="shared" ca="1" si="14"/>
        <v>774844.01284228056</v>
      </c>
      <c r="J82" s="92">
        <f t="shared" si="15"/>
        <v>0.2999</v>
      </c>
      <c r="T82" s="24">
        <f t="shared" si="16"/>
        <v>67</v>
      </c>
      <c r="U82" s="78">
        <f t="shared" ref="U82:U99" si="17">IF(T82&gt;$F$9,"",1/(1+J84/12))</f>
        <v>0.97561768794868242</v>
      </c>
      <c r="V82" s="78">
        <f>IF($T82&gt;$F$9,"",PRODUCT($U$17:$U82))</f>
        <v>0.200990086257785</v>
      </c>
      <c r="W82" s="78"/>
    </row>
    <row r="83" spans="1:23" ht="13.8">
      <c r="A83" s="98">
        <f t="shared" ca="1" si="10"/>
        <v>1</v>
      </c>
      <c r="B83" s="95">
        <v>66</v>
      </c>
      <c r="C83" s="24">
        <f t="shared" si="11"/>
        <v>66</v>
      </c>
      <c r="D83" s="25">
        <f t="shared" ca="1" si="8"/>
        <v>47911</v>
      </c>
      <c r="E83" s="26">
        <f ca="1">IF($C83&lt;=$F$9,IF((H82+G83)&gt;(Калькулятор!$W$17),ROUNDUP((Калькулятор!$W$17)*A83,2),(H82+G83)),"")</f>
        <v>51733.61</v>
      </c>
      <c r="F83" s="26">
        <f t="shared" ca="1" si="12"/>
        <v>32369.391142921151</v>
      </c>
      <c r="G83" s="26">
        <f t="shared" ca="1" si="13"/>
        <v>19364.218857078849</v>
      </c>
      <c r="H83" s="26">
        <f t="shared" ca="1" si="14"/>
        <v>742474.62169935938</v>
      </c>
      <c r="J83" s="92">
        <f t="shared" si="15"/>
        <v>0.2999</v>
      </c>
      <c r="T83" s="24">
        <f t="shared" si="16"/>
        <v>68</v>
      </c>
      <c r="U83" s="78">
        <f t="shared" si="17"/>
        <v>0.97561768794868242</v>
      </c>
      <c r="V83" s="78">
        <f>IF($T83&gt;$F$9,"",PRODUCT($U$17:$U83))</f>
        <v>0.19608948325542644</v>
      </c>
      <c r="W83" s="78"/>
    </row>
    <row r="84" spans="1:23" ht="13.8">
      <c r="A84" s="98">
        <f t="shared" ca="1" si="10"/>
        <v>1</v>
      </c>
      <c r="B84" s="95">
        <v>67</v>
      </c>
      <c r="C84" s="24">
        <f t="shared" si="11"/>
        <v>67</v>
      </c>
      <c r="D84" s="25">
        <f t="shared" ref="D84:D101" ca="1" si="18">IF($C84&lt;=$F$9,DATE(YEAR(D83),MONTH(D83)+1,DAY(D83)),"")</f>
        <v>47942</v>
      </c>
      <c r="E84" s="26">
        <f ca="1">IF($C84&lt;=$F$9,IF((H83+G84)&gt;(Калькулятор!$W$17),ROUNDUP((Калькулятор!$W$17)*A84,2),(H83+G84)),"")</f>
        <v>51733.61</v>
      </c>
      <c r="F84" s="26">
        <f t="shared" ca="1" si="12"/>
        <v>33178.338445827525</v>
      </c>
      <c r="G84" s="26">
        <f t="shared" ca="1" si="13"/>
        <v>18555.271554172476</v>
      </c>
      <c r="H84" s="26">
        <f t="shared" ca="1" si="14"/>
        <v>709296.2832535319</v>
      </c>
      <c r="J84" s="92">
        <f t="shared" si="15"/>
        <v>0.2999</v>
      </c>
      <c r="T84" s="24">
        <f t="shared" si="16"/>
        <v>69</v>
      </c>
      <c r="U84" s="78">
        <f t="shared" si="17"/>
        <v>0.97561768794868242</v>
      </c>
      <c r="V84" s="78">
        <f>IF($T84&gt;$F$9,"",PRODUCT($U$17:$U84))</f>
        <v>0.19130836828471101</v>
      </c>
      <c r="W84" s="78"/>
    </row>
    <row r="85" spans="1:23" ht="13.8">
      <c r="A85" s="98">
        <f t="shared" ca="1" si="10"/>
        <v>1</v>
      </c>
      <c r="B85" s="95">
        <v>68</v>
      </c>
      <c r="C85" s="24">
        <f t="shared" si="11"/>
        <v>68</v>
      </c>
      <c r="D85" s="25">
        <f t="shared" ca="1" si="18"/>
        <v>47972</v>
      </c>
      <c r="E85" s="26">
        <f ca="1">IF($C85&lt;=$F$9,IF((H84+G85)&gt;(Калькулятор!$W$17),ROUNDUP((Калькулятор!$W$17)*A85,2),(H84+G85)),"")</f>
        <v>51733.61</v>
      </c>
      <c r="F85" s="26">
        <f t="shared" ca="1" si="12"/>
        <v>34007.50224696799</v>
      </c>
      <c r="G85" s="26">
        <f t="shared" ca="1" si="13"/>
        <v>17726.107753032011</v>
      </c>
      <c r="H85" s="26">
        <f t="shared" ca="1" si="14"/>
        <v>675288.78100656392</v>
      </c>
      <c r="J85" s="92">
        <f t="shared" si="15"/>
        <v>0.2999</v>
      </c>
      <c r="T85" s="24">
        <f t="shared" si="16"/>
        <v>70</v>
      </c>
      <c r="U85" s="78">
        <f t="shared" si="17"/>
        <v>0.97561768794868242</v>
      </c>
      <c r="V85" s="78">
        <f>IF($T85&gt;$F$9,"",PRODUCT($U$17:$U85))</f>
        <v>0.1866438279511648</v>
      </c>
      <c r="W85" s="78"/>
    </row>
    <row r="86" spans="1:23" ht="13.8">
      <c r="A86" s="98">
        <f t="shared" ca="1" si="10"/>
        <v>1</v>
      </c>
      <c r="B86" s="95">
        <v>69</v>
      </c>
      <c r="C86" s="24">
        <f t="shared" si="11"/>
        <v>69</v>
      </c>
      <c r="D86" s="25">
        <f t="shared" ca="1" si="18"/>
        <v>48003</v>
      </c>
      <c r="E86" s="26">
        <f ca="1">IF($C86&lt;=$F$9,IF((H85+G86)&gt;(Калькулятор!$W$17),ROUNDUP((Калькулятор!$W$17)*A86,2),(H85+G86)),"")</f>
        <v>51733.61</v>
      </c>
      <c r="F86" s="26">
        <f t="shared" ca="1" si="12"/>
        <v>34857.387779253739</v>
      </c>
      <c r="G86" s="26">
        <f t="shared" ca="1" si="13"/>
        <v>16876.222220746258</v>
      </c>
      <c r="H86" s="26">
        <f t="shared" ca="1" si="14"/>
        <v>640431.39322731015</v>
      </c>
      <c r="J86" s="92">
        <f t="shared" si="15"/>
        <v>0.2999</v>
      </c>
      <c r="T86" s="24">
        <f t="shared" si="16"/>
        <v>71</v>
      </c>
      <c r="U86" s="78">
        <f t="shared" si="17"/>
        <v>0.97561768794868242</v>
      </c>
      <c r="V86" s="78">
        <f>IF($T86&gt;$F$9,"",PRODUCT($U$17:$U86))</f>
        <v>0.18209301989560706</v>
      </c>
      <c r="W86" s="78"/>
    </row>
    <row r="87" spans="1:23" ht="13.8">
      <c r="A87" s="98">
        <f t="shared" ca="1" si="10"/>
        <v>1</v>
      </c>
      <c r="B87" s="95">
        <v>70</v>
      </c>
      <c r="C87" s="24">
        <f t="shared" si="11"/>
        <v>70</v>
      </c>
      <c r="D87" s="25">
        <f t="shared" ca="1" si="18"/>
        <v>48033</v>
      </c>
      <c r="E87" s="26">
        <f ca="1">IF($C87&lt;=$F$9,IF((H86+G87)&gt;(Калькулятор!$W$17),ROUNDUP((Калькулятор!$W$17)*A87,2),(H86+G87)),"")</f>
        <v>51733.61</v>
      </c>
      <c r="F87" s="26">
        <f t="shared" ca="1" si="12"/>
        <v>35728.512901931725</v>
      </c>
      <c r="G87" s="26">
        <f t="shared" ca="1" si="13"/>
        <v>16005.097098068274</v>
      </c>
      <c r="H87" s="26">
        <f t="shared" ca="1" si="14"/>
        <v>604702.88032537838</v>
      </c>
      <c r="J87" s="92">
        <f t="shared" si="15"/>
        <v>0.2999</v>
      </c>
      <c r="T87" s="24">
        <f t="shared" si="16"/>
        <v>72</v>
      </c>
      <c r="U87" s="78">
        <f t="shared" si="17"/>
        <v>0.97561768794868242</v>
      </c>
      <c r="V87" s="78">
        <f>IF($T87&gt;$F$9,"",PRODUCT($U$17:$U87))</f>
        <v>0.17765317106214559</v>
      </c>
      <c r="W87" s="78"/>
    </row>
    <row r="88" spans="1:23" ht="13.8">
      <c r="A88" s="98">
        <f t="shared" ca="1" si="10"/>
        <v>1</v>
      </c>
      <c r="B88" s="95">
        <v>71</v>
      </c>
      <c r="C88" s="24">
        <f t="shared" si="11"/>
        <v>71</v>
      </c>
      <c r="D88" s="25">
        <f t="shared" ca="1" si="18"/>
        <v>48064</v>
      </c>
      <c r="E88" s="26">
        <f ca="1">IF($C88&lt;=$F$9,IF((H87+G88)&gt;(Калькулятор!$W$17),ROUNDUP((Калькулятор!$W$17)*A88,2),(H87+G88)),"")</f>
        <v>51733.61</v>
      </c>
      <c r="F88" s="26">
        <f t="shared" ca="1" si="12"/>
        <v>36621.408416130915</v>
      </c>
      <c r="G88" s="26">
        <f t="shared" ca="1" si="13"/>
        <v>15112.201583869082</v>
      </c>
      <c r="H88" s="26">
        <f t="shared" ca="1" si="14"/>
        <v>568081.47190924746</v>
      </c>
      <c r="J88" s="92">
        <f t="shared" si="15"/>
        <v>0.2999</v>
      </c>
      <c r="T88" s="24">
        <f t="shared" si="16"/>
        <v>73</v>
      </c>
      <c r="U88" s="78">
        <f t="shared" si="17"/>
        <v>0.97561768794868242</v>
      </c>
      <c r="V88" s="78">
        <f>IF($T88&gt;$F$9,"",PRODUCT($U$17:$U88))</f>
        <v>0.17332157600840226</v>
      </c>
      <c r="W88" s="78"/>
    </row>
    <row r="89" spans="1:23" ht="13.8">
      <c r="A89" s="98">
        <f t="shared" ca="1" si="10"/>
        <v>1</v>
      </c>
      <c r="B89" s="95">
        <v>72</v>
      </c>
      <c r="C89" s="24">
        <f t="shared" si="11"/>
        <v>72</v>
      </c>
      <c r="D89" s="25">
        <f t="shared" ca="1" si="18"/>
        <v>48095</v>
      </c>
      <c r="E89" s="26">
        <f ca="1">IF($C89&lt;=$F$9,IF((H88+G89)&gt;(Калькулятор!$W$17),ROUNDUP((Калькулятор!$W$17)*A89,2),(H88+G89)),"")</f>
        <v>51733.61</v>
      </c>
      <c r="F89" s="26">
        <f t="shared" ca="1" si="12"/>
        <v>37536.618388294402</v>
      </c>
      <c r="G89" s="26">
        <f t="shared" ca="1" si="13"/>
        <v>14196.991611705595</v>
      </c>
      <c r="H89" s="26">
        <f t="shared" ca="1" si="14"/>
        <v>530544.8535209531</v>
      </c>
      <c r="J89" s="92">
        <f t="shared" si="15"/>
        <v>0.2999</v>
      </c>
      <c r="T89" s="24">
        <f t="shared" si="16"/>
        <v>74</v>
      </c>
      <c r="U89" s="78">
        <f t="shared" si="17"/>
        <v>0.97561768794868242</v>
      </c>
      <c r="V89" s="78">
        <f>IF($T89&gt;$F$9,"",PRODUCT($U$17:$U89))</f>
        <v>0.16909559525693924</v>
      </c>
      <c r="W89" s="78"/>
    </row>
    <row r="90" spans="1:23" ht="13.8">
      <c r="A90" s="98">
        <f t="shared" ca="1" si="10"/>
        <v>1</v>
      </c>
      <c r="B90" s="95">
        <v>73</v>
      </c>
      <c r="C90" s="24">
        <f t="shared" si="11"/>
        <v>73</v>
      </c>
      <c r="D90" s="25">
        <f t="shared" ca="1" si="18"/>
        <v>48125</v>
      </c>
      <c r="E90" s="26">
        <f ca="1">IF($C90&lt;=$F$9,IF((H89+G90)&gt;(Калькулятор!$W$17),ROUNDUP((Калькулятор!$W$17)*A90,2),(H89+G90)),"")</f>
        <v>51733.61</v>
      </c>
      <c r="F90" s="26">
        <f t="shared" ca="1" si="12"/>
        <v>38474.700481694454</v>
      </c>
      <c r="G90" s="26">
        <f t="shared" ca="1" si="13"/>
        <v>13258.909518305545</v>
      </c>
      <c r="H90" s="26">
        <f t="shared" ca="1" si="14"/>
        <v>492070.15303925867</v>
      </c>
      <c r="J90" s="92">
        <f t="shared" si="15"/>
        <v>0.2999</v>
      </c>
      <c r="T90" s="24">
        <f t="shared" si="16"/>
        <v>75</v>
      </c>
      <c r="U90" s="78">
        <f t="shared" si="17"/>
        <v>0.97561768794868242</v>
      </c>
      <c r="V90" s="78">
        <f>IF($T90&gt;$F$9,"",PRODUCT($U$17:$U90))</f>
        <v>0.16497265368688124</v>
      </c>
      <c r="W90" s="78"/>
    </row>
    <row r="91" spans="1:23" ht="13.8">
      <c r="A91" s="98">
        <f t="shared" ca="1" si="10"/>
        <v>1</v>
      </c>
      <c r="B91" s="95">
        <v>74</v>
      </c>
      <c r="C91" s="24">
        <f t="shared" si="11"/>
        <v>74</v>
      </c>
      <c r="D91" s="25">
        <f t="shared" ca="1" si="18"/>
        <v>48156</v>
      </c>
      <c r="E91" s="26">
        <f ca="1">IF($C91&lt;=$F$9,IF((H90+G91)&gt;(Калькулятор!$W$17),ROUNDUP((Калькулятор!$W$17)*A91,2),(H90+G91)),"")</f>
        <v>51733.61</v>
      </c>
      <c r="F91" s="26">
        <f t="shared" ca="1" si="12"/>
        <v>39436.226296232482</v>
      </c>
      <c r="G91" s="26">
        <f t="shared" ca="1" si="13"/>
        <v>12297.383703767517</v>
      </c>
      <c r="H91" s="26">
        <f t="shared" ca="1" si="14"/>
        <v>452633.92674302618</v>
      </c>
      <c r="J91" s="92">
        <f t="shared" si="15"/>
        <v>0.2999</v>
      </c>
      <c r="T91" s="24">
        <f t="shared" si="16"/>
        <v>76</v>
      </c>
      <c r="U91" s="78">
        <f t="shared" si="17"/>
        <v>0.97561768794868242</v>
      </c>
      <c r="V91" s="78">
        <f>IF($T91&gt;$F$9,"",PRODUCT($U$17:$U91))</f>
        <v>0.16095023896475374</v>
      </c>
      <c r="W91" s="78"/>
    </row>
    <row r="92" spans="1:23" ht="13.8">
      <c r="A92" s="98">
        <f t="shared" ca="1" si="10"/>
        <v>1</v>
      </c>
      <c r="B92" s="95">
        <v>75</v>
      </c>
      <c r="C92" s="24">
        <f t="shared" si="11"/>
        <v>75</v>
      </c>
      <c r="D92" s="25">
        <f t="shared" ca="1" si="18"/>
        <v>48186</v>
      </c>
      <c r="E92" s="26">
        <f ca="1">IF($C92&lt;=$F$9,IF((H91+G92)&gt;(Калькулятор!$W$17),ROUNDUP((Калькулятор!$W$17)*A92,2),(H91+G92)),"")</f>
        <v>51733.61</v>
      </c>
      <c r="F92" s="26">
        <f t="shared" ca="1" si="12"/>
        <v>40421.781716731006</v>
      </c>
      <c r="G92" s="26">
        <f t="shared" ca="1" si="13"/>
        <v>11311.828283268997</v>
      </c>
      <c r="H92" s="26">
        <f t="shared" ca="1" si="14"/>
        <v>412212.14502629521</v>
      </c>
      <c r="J92" s="92">
        <f t="shared" si="15"/>
        <v>0.2999</v>
      </c>
      <c r="T92" s="24">
        <f t="shared" si="16"/>
        <v>77</v>
      </c>
      <c r="U92" s="78">
        <f t="shared" si="17"/>
        <v>0.97561768794868242</v>
      </c>
      <c r="V92" s="78">
        <f>IF($T92&gt;$F$9,"",PRODUCT($U$17:$U92))</f>
        <v>0.15702590001358099</v>
      </c>
      <c r="W92" s="78"/>
    </row>
    <row r="93" spans="1:23" ht="13.8">
      <c r="A93" s="98">
        <f t="shared" ca="1" si="10"/>
        <v>1</v>
      </c>
      <c r="B93" s="95">
        <v>76</v>
      </c>
      <c r="C93" s="24">
        <f t="shared" si="11"/>
        <v>76</v>
      </c>
      <c r="D93" s="25">
        <f t="shared" ca="1" si="18"/>
        <v>48217</v>
      </c>
      <c r="E93" s="26">
        <f ca="1">IF($C93&lt;=$F$9,IF((H92+G93)&gt;(Калькулятор!$W$17),ROUNDUP((Калькулятор!$W$17)*A93,2),(H92+G93)),"")</f>
        <v>51733.61</v>
      </c>
      <c r="F93" s="26">
        <f t="shared" ca="1" si="12"/>
        <v>41431.967269929795</v>
      </c>
      <c r="G93" s="26">
        <f t="shared" ca="1" si="13"/>
        <v>10301.642730070209</v>
      </c>
      <c r="H93" s="26">
        <f t="shared" ca="1" si="14"/>
        <v>370780.17775636545</v>
      </c>
      <c r="J93" s="92">
        <f t="shared" si="15"/>
        <v>0.2999</v>
      </c>
      <c r="T93" s="24">
        <f t="shared" si="16"/>
        <v>78</v>
      </c>
      <c r="U93" s="78">
        <f t="shared" si="17"/>
        <v>0.97561768794868242</v>
      </c>
      <c r="V93" s="78">
        <f>IF($T93&gt;$F$9,"",PRODUCT($U$17:$U93))</f>
        <v>0.15319724551931088</v>
      </c>
      <c r="W93" s="78"/>
    </row>
    <row r="94" spans="1:23" ht="13.8">
      <c r="A94" s="98">
        <f t="shared" ca="1" si="10"/>
        <v>1</v>
      </c>
      <c r="B94" s="95">
        <v>77</v>
      </c>
      <c r="C94" s="24">
        <f t="shared" si="11"/>
        <v>77</v>
      </c>
      <c r="D94" s="25">
        <f t="shared" ca="1" si="18"/>
        <v>48248</v>
      </c>
      <c r="E94" s="26">
        <f ca="1">IF($C94&lt;=$F$9,IF((H93+G94)&gt;(Калькулятор!$W$17),ROUNDUP((Калькулятор!$W$17)*A94,2),(H93+G94)),"")</f>
        <v>51733.61</v>
      </c>
      <c r="F94" s="26">
        <f t="shared" ca="1" si="12"/>
        <v>42467.398490403779</v>
      </c>
      <c r="G94" s="26">
        <f t="shared" ca="1" si="13"/>
        <v>9266.2115095962181</v>
      </c>
      <c r="H94" s="26">
        <f t="shared" ca="1" si="14"/>
        <v>328312.77926596167</v>
      </c>
      <c r="J94" s="92">
        <f t="shared" si="15"/>
        <v>0.2999</v>
      </c>
      <c r="T94" s="24">
        <f t="shared" si="16"/>
        <v>79</v>
      </c>
      <c r="U94" s="78">
        <f t="shared" si="17"/>
        <v>0.97561768794868242</v>
      </c>
      <c r="V94" s="78">
        <f>IF($T94&gt;$F$9,"",PRODUCT($U$17:$U94))</f>
        <v>0.14946194247365674</v>
      </c>
      <c r="W94" s="78"/>
    </row>
    <row r="95" spans="1:23" ht="13.8">
      <c r="A95" s="98">
        <f t="shared" ca="1" si="10"/>
        <v>1</v>
      </c>
      <c r="B95" s="95">
        <v>78</v>
      </c>
      <c r="C95" s="24">
        <f t="shared" si="11"/>
        <v>78</v>
      </c>
      <c r="D95" s="25">
        <f t="shared" ca="1" si="18"/>
        <v>48277</v>
      </c>
      <c r="E95" s="26">
        <f ca="1">IF($C95&lt;=$F$9,IF((H94+G95)&gt;(Калькулятор!$W$17),ROUNDUP((Калькулятор!$W$17)*A95,2),(H94+G95)),"")</f>
        <v>51733.61</v>
      </c>
      <c r="F95" s="26">
        <f t="shared" ca="1" si="12"/>
        <v>43528.70629562567</v>
      </c>
      <c r="G95" s="26">
        <f t="shared" ca="1" si="13"/>
        <v>8204.9037043743338</v>
      </c>
      <c r="H95" s="26">
        <f t="shared" ca="1" si="14"/>
        <v>284784.07297033601</v>
      </c>
      <c r="J95" s="92">
        <f t="shared" si="15"/>
        <v>0.2999</v>
      </c>
      <c r="T95" s="24">
        <f t="shared" si="16"/>
        <v>80</v>
      </c>
      <c r="U95" s="78">
        <f t="shared" si="17"/>
        <v>0.97561768794868242</v>
      </c>
      <c r="V95" s="78">
        <f>IF($T95&gt;$F$9,"",PRODUCT($U$17:$U95))</f>
        <v>0.14581771475246796</v>
      </c>
      <c r="W95" s="78"/>
    </row>
    <row r="96" spans="1:23" ht="13.8">
      <c r="A96" s="98">
        <f t="shared" ca="1" si="10"/>
        <v>1</v>
      </c>
      <c r="B96" s="95">
        <v>79</v>
      </c>
      <c r="C96" s="24">
        <f t="shared" si="11"/>
        <v>79</v>
      </c>
      <c r="D96" s="25">
        <f t="shared" ca="1" si="18"/>
        <v>48308</v>
      </c>
      <c r="E96" s="26">
        <f ca="1">IF($C96&lt;=$F$9,IF((H95+G96)&gt;(Калькулятор!$W$17),ROUNDUP((Калькулятор!$W$17)*A96,2),(H95+G96)),"")</f>
        <v>51733.61</v>
      </c>
      <c r="F96" s="26">
        <f t="shared" ca="1" si="12"/>
        <v>44616.537370401711</v>
      </c>
      <c r="G96" s="26">
        <f t="shared" ca="1" si="13"/>
        <v>7117.0726295982895</v>
      </c>
      <c r="H96" s="26">
        <f t="shared" ca="1" si="14"/>
        <v>240167.53559993429</v>
      </c>
      <c r="J96" s="92">
        <f t="shared" si="15"/>
        <v>0.2999</v>
      </c>
      <c r="T96" s="24">
        <f t="shared" si="16"/>
        <v>81</v>
      </c>
      <c r="U96" s="78">
        <f t="shared" si="17"/>
        <v>0.97561768794868242</v>
      </c>
      <c r="V96" s="78">
        <f>IF($T96&gt;$F$9,"",PRODUCT($U$17:$U96))</f>
        <v>0.14226234172876329</v>
      </c>
      <c r="W96" s="78"/>
    </row>
    <row r="97" spans="1:23" ht="13.8">
      <c r="A97" s="98">
        <f t="shared" ca="1" si="10"/>
        <v>1</v>
      </c>
      <c r="B97" s="95">
        <v>80</v>
      </c>
      <c r="C97" s="24">
        <f t="shared" si="11"/>
        <v>80</v>
      </c>
      <c r="D97" s="25">
        <f t="shared" ca="1" si="18"/>
        <v>48338</v>
      </c>
      <c r="E97" s="26">
        <f ca="1">IF($C97&lt;=$F$9,IF((H96+G97)&gt;(Калькулятор!$W$17),ROUNDUP((Калькулятор!$W$17)*A97,2),(H96+G97)),"")</f>
        <v>51733.61</v>
      </c>
      <c r="F97" s="26">
        <f t="shared" ca="1" si="12"/>
        <v>45731.554560915072</v>
      </c>
      <c r="G97" s="26">
        <f t="shared" ca="1" si="13"/>
        <v>6002.0554390849311</v>
      </c>
      <c r="H97" s="26">
        <f t="shared" ca="1" si="14"/>
        <v>194435.98103901924</v>
      </c>
      <c r="J97" s="92">
        <f t="shared" si="15"/>
        <v>0.2999</v>
      </c>
      <c r="T97" s="24">
        <f t="shared" si="16"/>
        <v>82</v>
      </c>
      <c r="U97" s="78">
        <f t="shared" si="17"/>
        <v>0.97561768794868242</v>
      </c>
      <c r="V97" s="78">
        <f>IF($T97&gt;$F$9,"",PRODUCT($U$17:$U97))</f>
        <v>0.1387936569195814</v>
      </c>
      <c r="W97" s="78"/>
    </row>
    <row r="98" spans="1:23" ht="13.8">
      <c r="A98" s="98">
        <f t="shared" ca="1" si="10"/>
        <v>1</v>
      </c>
      <c r="B98" s="95">
        <v>81</v>
      </c>
      <c r="C98" s="24">
        <f t="shared" si="11"/>
        <v>81</v>
      </c>
      <c r="D98" s="25">
        <f t="shared" ca="1" si="18"/>
        <v>48369</v>
      </c>
      <c r="E98" s="26">
        <f ca="1">IF($C98&lt;=$F$9,IF((H97+G98)&gt;(Калькулятор!$W$17),ROUNDUP((Калькулятор!$W$17)*A98,2),(H97+G98)),"")</f>
        <v>51733.61</v>
      </c>
      <c r="F98" s="26">
        <f t="shared" ca="1" si="12"/>
        <v>46874.437278616671</v>
      </c>
      <c r="G98" s="26">
        <f t="shared" ca="1" si="13"/>
        <v>4859.1727213833274</v>
      </c>
      <c r="H98" s="26">
        <f ca="1">IF($C98&lt;=$F$9,H97+G98-E98,"")</f>
        <v>147561.54376040259</v>
      </c>
      <c r="J98" s="92">
        <f t="shared" si="15"/>
        <v>0.2999</v>
      </c>
      <c r="T98" s="24">
        <f t="shared" si="16"/>
        <v>83</v>
      </c>
      <c r="U98" s="78">
        <f t="shared" si="17"/>
        <v>0.97561768794868242</v>
      </c>
      <c r="V98" s="78">
        <f>IF($T98&gt;$F$9,"",PRODUCT($U$17:$U98))</f>
        <v>0.13540954666582466</v>
      </c>
      <c r="W98" s="78"/>
    </row>
    <row r="99" spans="1:23" ht="13.8">
      <c r="A99" s="98">
        <f t="shared" ref="A99:A101" ca="1" si="19">IF(H98&gt;0.3,1,0)</f>
        <v>1</v>
      </c>
      <c r="B99" s="95">
        <v>82</v>
      </c>
      <c r="C99" s="24">
        <f t="shared" ref="C99:C101" si="20">IF($B99&lt;=$F$9,B99,"")</f>
        <v>82</v>
      </c>
      <c r="D99" s="25">
        <f t="shared" ca="1" si="18"/>
        <v>48399</v>
      </c>
      <c r="E99" s="26">
        <f ca="1">IF($C99&lt;=$F$9,IF((H98+G99)&gt;(Калькулятор!$W$17),ROUNDUP((Калькулятор!$W$17)*A99,2),(H98+G99)),"")</f>
        <v>51733.61</v>
      </c>
      <c r="F99" s="26">
        <f t="shared" ref="F99:F101" ca="1" si="21">IF($C99&lt;=$F$9,E99-G99,"")</f>
        <v>48045.881914209807</v>
      </c>
      <c r="G99" s="26">
        <f t="shared" ref="G99:G101" ca="1" si="22">IF($C99&lt;=$F$9,H98*J99/365*30.416,"")</f>
        <v>3687.7280857901915</v>
      </c>
      <c r="H99" s="26">
        <f t="shared" ref="H99:H101" ca="1" si="23">IF($C99&lt;=$F$9,H98+G99-E99,"")</f>
        <v>99515.661846192772</v>
      </c>
      <c r="J99" s="92">
        <f t="shared" ref="J99:J101" si="24">IF(C99&lt;=$B$9,$F$11,$F$12)</f>
        <v>0.2999</v>
      </c>
      <c r="T99" s="24">
        <f t="shared" si="16"/>
        <v>84</v>
      </c>
      <c r="U99" s="78">
        <f t="shared" si="17"/>
        <v>0.97561768794868242</v>
      </c>
      <c r="V99" s="78">
        <f>IF($T99&gt;$F$9,"",PRODUCT($U$17:$U99))</f>
        <v>0.13210794884429108</v>
      </c>
      <c r="W99" s="78"/>
    </row>
    <row r="100" spans="1:23" ht="13.8">
      <c r="A100" s="98">
        <f t="shared" ca="1" si="19"/>
        <v>1</v>
      </c>
      <c r="B100" s="95">
        <v>83</v>
      </c>
      <c r="C100" s="24">
        <f t="shared" si="20"/>
        <v>83</v>
      </c>
      <c r="D100" s="25">
        <f t="shared" ca="1" si="18"/>
        <v>48430</v>
      </c>
      <c r="E100" s="26">
        <f ca="1">IF($C100&lt;=$F$9,IF((H99+G100)&gt;(Калькулятор!$W$17),ROUNDUP((Калькулятор!$W$17)*A100,2),(H99+G100)),"")</f>
        <v>51733.61</v>
      </c>
      <c r="F100" s="26">
        <f t="shared" ca="1" si="21"/>
        <v>49246.602261980632</v>
      </c>
      <c r="G100" s="26">
        <f t="shared" ca="1" si="22"/>
        <v>2487.0077380193657</v>
      </c>
      <c r="H100" s="26">
        <f t="shared" ca="1" si="23"/>
        <v>50269.05958421214</v>
      </c>
      <c r="J100" s="92">
        <f t="shared" si="24"/>
        <v>0.2999</v>
      </c>
    </row>
    <row r="101" spans="1:23" ht="13.8">
      <c r="A101" s="98">
        <f t="shared" ca="1" si="19"/>
        <v>1</v>
      </c>
      <c r="B101" s="95">
        <v>84</v>
      </c>
      <c r="C101" s="24">
        <f t="shared" si="20"/>
        <v>84</v>
      </c>
      <c r="D101" s="25">
        <f t="shared" ca="1" si="18"/>
        <v>48461</v>
      </c>
      <c r="E101" s="26">
        <f ca="1">IF($C101&lt;=$F$9,IF((H100+G101)&gt;(Калькулятор!$W$17),ROUNDUP((Калькулятор!$W$17)*A101,2),(H100+G101)),"")</f>
        <v>51525.339629478956</v>
      </c>
      <c r="F101" s="26">
        <f t="shared" ca="1" si="21"/>
        <v>50269.05958421214</v>
      </c>
      <c r="G101" s="26">
        <f t="shared" ca="1" si="22"/>
        <v>1256.2800452668153</v>
      </c>
      <c r="H101" s="26">
        <f t="shared" ca="1" si="23"/>
        <v>0</v>
      </c>
      <c r="J101" s="92">
        <f t="shared" si="24"/>
        <v>0.2999</v>
      </c>
    </row>
  </sheetData>
  <sheetProtection algorithmName="SHA-512" hashValue="9UkFM6Q36FLvhqgQqIo5zYdPpIb6k7Rky3DhWoHe2JOSXwkW7gOVJOUdHRmMvZgjCK1jiY3sH6zcfiyfR/kHXg==" saltValue="2Uu7O5aglH/A6+aaDtdRjw==" spinCount="100000" sheet="1" selectLockedCells="1"/>
  <protectedRanges>
    <protectedRange sqref="F8:F10" name="Диапазон1_2"/>
    <protectedRange sqref="K7" name="Диапазон5"/>
  </protectedRanges>
  <customSheetViews>
    <customSheetView guid="{E07207AA-C3D8-48F1-8681-AD90196968B3}" showPageBreaks="1" showGridLines="0" fitToPage="1" printArea="1" view="pageBreakPreview" topLeftCell="A4">
      <selection activeCell="I17" sqref="I17"/>
      <pageMargins left="0.74803149606299213" right="0.74803149606299213" top="0.98425196850393704" bottom="0.98425196850393704" header="0.51181102362204722" footer="0.51181102362204722"/>
      <pageSetup paperSize="9" scale="42" orientation="landscape" r:id="rId1"/>
      <headerFooter alignWithMargins="0"/>
    </customSheetView>
  </customSheetViews>
  <mergeCells count="20">
    <mergeCell ref="C11:E11"/>
    <mergeCell ref="F7:G7"/>
    <mergeCell ref="C15:E15"/>
    <mergeCell ref="C13:E13"/>
    <mergeCell ref="C14:E14"/>
    <mergeCell ref="C10:E10"/>
    <mergeCell ref="C12:E12"/>
    <mergeCell ref="F1:H3"/>
    <mergeCell ref="Q5:Q6"/>
    <mergeCell ref="C7:E7"/>
    <mergeCell ref="C8:E8"/>
    <mergeCell ref="C9:E9"/>
    <mergeCell ref="M5:M6"/>
    <mergeCell ref="R5:R6"/>
    <mergeCell ref="S5:S6"/>
    <mergeCell ref="L5:L6"/>
    <mergeCell ref="P5:P6"/>
    <mergeCell ref="C5:G6"/>
    <mergeCell ref="N5:N6"/>
    <mergeCell ref="O5:O6"/>
  </mergeCells>
  <phoneticPr fontId="3" type="noConversion"/>
  <conditionalFormatting sqref="C18:C101">
    <cfRule type="notContainsBlanks" dxfId="7" priority="45">
      <formula>LEN(TRIM(C18))&gt;0</formula>
    </cfRule>
  </conditionalFormatting>
  <conditionalFormatting sqref="D18:D101">
    <cfRule type="notContainsBlanks" dxfId="6" priority="43">
      <formula>LEN(TRIM(D18))&gt;0</formula>
    </cfRule>
  </conditionalFormatting>
  <conditionalFormatting sqref="E18:E101">
    <cfRule type="notContainsBlanks" dxfId="5" priority="44">
      <formula>LEN(TRIM(E18))&gt;0</formula>
    </cfRule>
  </conditionalFormatting>
  <conditionalFormatting sqref="F18:F101">
    <cfRule type="notContainsBlanks" dxfId="4" priority="7">
      <formula>LEN(TRIM(F18))&gt;0</formula>
    </cfRule>
  </conditionalFormatting>
  <conditionalFormatting sqref="G18:G101">
    <cfRule type="notContainsBlanks" dxfId="3" priority="6">
      <formula>LEN(TRIM(G18))&gt;0</formula>
    </cfRule>
  </conditionalFormatting>
  <conditionalFormatting sqref="H18:H101">
    <cfRule type="notContainsBlanks" dxfId="2" priority="5">
      <formula>LEN(TRIM(H18))&gt;0</formula>
    </cfRule>
  </conditionalFormatting>
  <conditionalFormatting sqref="T16:T99">
    <cfRule type="notContainsBlanks" dxfId="1" priority="1">
      <formula>LEN(TRIM(T16))&gt;0</formula>
    </cfRule>
  </conditionalFormatting>
  <dataValidations count="1">
    <dataValidation type="list" allowBlank="1" showInputMessage="1" showErrorMessage="1" sqref="F7:G7" xr:uid="{00000000-0002-0000-0000-000000000000}">
      <formula1>Список_продуктов</formula1>
    </dataValidation>
  </dataValidations>
  <pageMargins left="0.74803149606299213" right="0.74803149606299213" top="0.98425196850393704" bottom="0.98425196850393704" header="0.51181102362204722" footer="0.51181102362204722"/>
  <pageSetup paperSize="9" scale="32" orientation="portrait" r:id="rId2"/>
  <headerFooter alignWithMargins="0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1" operator="containsText" id="{8BBC5B70-DD96-49C0-A930-88B53A4BC1CD}">
            <xm:f>NOT(ISERROR(SEARCH(#REF!,F1)))</xm:f>
            <xm:f>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F1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whole" showInputMessage="1" showErrorMessage="1" errorTitle="Ошибка" error="Некоректний термін кредиту" xr:uid="{00000000-0002-0000-0000-000001000000}">
          <x14:formula1>
            <xm:f>Продукти!L3</xm:f>
          </x14:formula1>
          <x14:formula2>
            <xm:f>Продукти!M3</xm:f>
          </x14:formula2>
          <xm:sqref>F9</xm:sqref>
        </x14:dataValidation>
        <x14:dataValidation type="decimal" allowBlank="1" showInputMessage="1" showErrorMessage="1" errorTitle="Ошибка" error="Сума кредиту від 200 000 до 1 900 000 грн (з урахуванням одноразової комісії)" xr:uid="{00000000-0002-0000-0000-000002000000}">
          <x14:formula1>
            <xm:f>Продукти!I3</xm:f>
          </x14:formula1>
          <x14:formula2>
            <xm:f>Продукти!J3/(1+0.0299)</xm:f>
          </x14:formula2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>
    <tabColor rgb="FFFD370F"/>
    <pageSetUpPr fitToPage="1"/>
  </sheetPr>
  <dimension ref="A1:W30"/>
  <sheetViews>
    <sheetView zoomScale="85" zoomScaleNormal="85" workbookViewId="0">
      <pane xSplit="2" topLeftCell="C1" activePane="topRight" state="frozen"/>
      <selection pane="topRight" activeCell="G16" sqref="A11:G16"/>
    </sheetView>
  </sheetViews>
  <sheetFormatPr defaultColWidth="9.109375" defaultRowHeight="13.8"/>
  <cols>
    <col min="1" max="1" width="3.88671875" style="7" customWidth="1"/>
    <col min="2" max="2" width="41.109375" style="7" bestFit="1" customWidth="1"/>
    <col min="3" max="3" width="9.5546875" style="7" customWidth="1"/>
    <col min="4" max="5" width="9.88671875" style="7" customWidth="1"/>
    <col min="6" max="6" width="9.109375" style="7" customWidth="1"/>
    <col min="7" max="7" width="9.6640625" style="7" customWidth="1"/>
    <col min="8" max="8" width="9.109375" style="7" customWidth="1"/>
    <col min="9" max="9" width="12.6640625" style="7" customWidth="1"/>
    <col min="10" max="10" width="13.33203125" style="7" customWidth="1"/>
    <col min="11" max="11" width="18.109375" style="12" customWidth="1"/>
    <col min="12" max="12" width="8.44140625" style="7" customWidth="1"/>
    <col min="13" max="13" width="9.109375" style="7" customWidth="1"/>
    <col min="14" max="14" width="12.88671875" style="7" customWidth="1"/>
    <col min="15" max="17" width="9.109375" style="7" hidden="1" customWidth="1"/>
    <col min="18" max="18" width="61.44140625" style="7" hidden="1" customWidth="1"/>
    <col min="19" max="19" width="10.44140625" style="7" hidden="1" customWidth="1"/>
    <col min="20" max="20" width="15.6640625" style="7" hidden="1" customWidth="1"/>
    <col min="21" max="21" width="0" style="8" hidden="1" customWidth="1"/>
    <col min="22" max="22" width="0" style="7" hidden="1" customWidth="1"/>
    <col min="23" max="23" width="10" style="7" hidden="1" customWidth="1"/>
    <col min="24" max="16384" width="9.109375" style="7"/>
  </cols>
  <sheetData>
    <row r="1" spans="1:23" s="10" customFormat="1" ht="42" thickBot="1">
      <c r="A1" s="56" t="s">
        <v>17</v>
      </c>
      <c r="B1" s="57" t="s">
        <v>18</v>
      </c>
      <c r="C1" s="57" t="s">
        <v>19</v>
      </c>
      <c r="D1" s="58" t="s">
        <v>20</v>
      </c>
      <c r="E1" s="59" t="s">
        <v>21</v>
      </c>
      <c r="F1" s="59" t="s">
        <v>22</v>
      </c>
      <c r="G1" s="59" t="s">
        <v>23</v>
      </c>
      <c r="H1" s="60" t="s">
        <v>24</v>
      </c>
      <c r="I1" s="61" t="s">
        <v>25</v>
      </c>
      <c r="J1" s="57" t="s">
        <v>26</v>
      </c>
      <c r="K1" s="62" t="s">
        <v>27</v>
      </c>
      <c r="L1" s="61" t="s">
        <v>28</v>
      </c>
      <c r="M1" s="57" t="s">
        <v>29</v>
      </c>
      <c r="N1" s="63" t="s">
        <v>30</v>
      </c>
      <c r="O1" s="64" t="s">
        <v>2</v>
      </c>
      <c r="P1" s="65" t="s">
        <v>31</v>
      </c>
      <c r="Q1" s="66" t="s">
        <v>32</v>
      </c>
      <c r="R1" s="67" t="s">
        <v>33</v>
      </c>
      <c r="S1" s="68" t="s">
        <v>34</v>
      </c>
      <c r="T1" s="69" t="s">
        <v>35</v>
      </c>
      <c r="U1" s="70" t="s">
        <v>36</v>
      </c>
      <c r="V1" s="71" t="s">
        <v>37</v>
      </c>
      <c r="W1" s="72">
        <f>Maxamount</f>
        <v>1899999.9950699999</v>
      </c>
    </row>
    <row r="2" spans="1:23" ht="15" thickTop="1" thickBot="1">
      <c r="A2" s="38">
        <v>1</v>
      </c>
      <c r="B2" s="79" t="str">
        <f>Калькулятор!L7</f>
        <v>Новобудова My Home</v>
      </c>
      <c r="C2" s="39">
        <v>2</v>
      </c>
      <c r="D2" s="40">
        <v>0</v>
      </c>
      <c r="E2" s="41">
        <v>1E-4</v>
      </c>
      <c r="F2" s="42">
        <v>0.2999</v>
      </c>
      <c r="G2" s="42">
        <v>0</v>
      </c>
      <c r="H2" s="43">
        <v>2.9899999999999999E-2</v>
      </c>
      <c r="I2" s="44">
        <v>200000</v>
      </c>
      <c r="J2" s="45">
        <v>1900000</v>
      </c>
      <c r="K2" s="46" t="str">
        <f t="shared" ref="K2" si="0">I2&amp;" "&amp;"-"&amp;" "&amp;J2</f>
        <v>200000 - 1900000</v>
      </c>
      <c r="L2" s="47">
        <v>36</v>
      </c>
      <c r="M2" s="48">
        <f>IF(Maxamount&lt;300000,60,84)</f>
        <v>84</v>
      </c>
      <c r="N2" s="49" t="str">
        <f t="shared" ref="N2" si="1">L2&amp;" "&amp;"-"&amp;" "&amp;M2</f>
        <v>36 - 84</v>
      </c>
      <c r="O2" s="50">
        <v>0</v>
      </c>
      <c r="P2" s="51">
        <v>23</v>
      </c>
      <c r="Q2" s="48">
        <v>69</v>
      </c>
      <c r="R2" s="52" t="str">
        <f t="shared" ref="R2" si="2">"вік "&amp;P2&amp;" - "&amp;Q2&amp;" (Для з/п клієнтів з 23 років, для інших - з 25)"</f>
        <v>вік 23 - 69 (Для з/п клієнтів з 23 років, для інших - з 25)</v>
      </c>
      <c r="S2" s="47" t="str">
        <f t="shared" ref="S2" si="3">"6 міс. (для ФОП 24 міс)"</f>
        <v>6 міс. (для ФОП 24 міс)</v>
      </c>
      <c r="T2" s="48">
        <f>IF(Maxamount&lt;=50000,6500,8000)</f>
        <v>8000</v>
      </c>
      <c r="U2" s="53" t="s">
        <v>38</v>
      </c>
      <c r="V2" s="54" t="s">
        <v>16</v>
      </c>
    </row>
    <row r="3" spans="1:23" s="8" customFormat="1" ht="14.4" thickTop="1">
      <c r="A3" s="55"/>
      <c r="B3" s="74" t="str">
        <f>Калькулятор!F7</f>
        <v>Новобудова My Home</v>
      </c>
      <c r="C3" s="55">
        <f>VLOOKUP($B$3,$B$2:$V$2,COLUMN()-1,0)</f>
        <v>2</v>
      </c>
      <c r="D3" s="75">
        <f>VLOOKUP($B$3,$B$2:$V$2,COLUMN()-1,0)</f>
        <v>0</v>
      </c>
      <c r="E3" s="73">
        <f>VLOOKUP($B$3,$B$2:$V$2,COLUMN()-1,0)</f>
        <v>1E-4</v>
      </c>
      <c r="F3" s="75">
        <f t="shared" ref="F3:N3" si="4">VLOOKUP($B$3,$B$2:$V$2,COLUMN()-1,0)</f>
        <v>0.2999</v>
      </c>
      <c r="G3" s="75">
        <f t="shared" si="4"/>
        <v>0</v>
      </c>
      <c r="H3" s="75">
        <f t="shared" si="4"/>
        <v>2.9899999999999999E-2</v>
      </c>
      <c r="I3" s="76">
        <f t="shared" si="4"/>
        <v>200000</v>
      </c>
      <c r="J3" s="76">
        <f t="shared" si="4"/>
        <v>1900000</v>
      </c>
      <c r="K3" s="76" t="str">
        <f t="shared" si="4"/>
        <v>200000 - 1900000</v>
      </c>
      <c r="L3" s="55">
        <f t="shared" si="4"/>
        <v>36</v>
      </c>
      <c r="M3" s="55">
        <f t="shared" si="4"/>
        <v>84</v>
      </c>
      <c r="N3" s="55" t="str">
        <f t="shared" si="4"/>
        <v>36 - 84</v>
      </c>
      <c r="O3" s="55"/>
      <c r="P3" s="55">
        <f t="shared" ref="P3:V3" si="5">VLOOKUP($B$3,$B$2:$V$2,COLUMN()-1,0)</f>
        <v>23</v>
      </c>
      <c r="Q3" s="55">
        <f t="shared" si="5"/>
        <v>69</v>
      </c>
      <c r="R3" s="55" t="str">
        <f t="shared" si="5"/>
        <v>вік 23 - 69 (Для з/п клієнтів з 23 років, для інших - з 25)</v>
      </c>
      <c r="S3" s="55" t="str">
        <f t="shared" si="5"/>
        <v>6 міс. (для ФОП 24 міс)</v>
      </c>
      <c r="T3" s="55">
        <f t="shared" si="5"/>
        <v>8000</v>
      </c>
      <c r="U3" s="55" t="str">
        <f t="shared" si="5"/>
        <v>big</v>
      </c>
      <c r="V3" s="55" t="str">
        <f t="shared" si="5"/>
        <v>Standart</v>
      </c>
    </row>
    <row r="4" spans="1:23" s="8" customFormat="1">
      <c r="A4"/>
      <c r="B4"/>
      <c r="C4"/>
      <c r="D4"/>
      <c r="K4" s="11"/>
    </row>
    <row r="5" spans="1:23" s="8" customFormat="1">
      <c r="A5"/>
      <c r="B5"/>
      <c r="C5"/>
      <c r="D5"/>
      <c r="K5" s="11"/>
    </row>
    <row r="6" spans="1:23" s="8" customFormat="1">
      <c r="A6"/>
      <c r="B6"/>
      <c r="C6"/>
      <c r="D6"/>
      <c r="K6" s="11"/>
    </row>
    <row r="7" spans="1:23" s="8" customFormat="1">
      <c r="A7"/>
      <c r="B7"/>
      <c r="C7"/>
      <c r="D7"/>
      <c r="K7" s="11"/>
    </row>
    <row r="8" spans="1:23" s="8" customFormat="1">
      <c r="A8"/>
      <c r="B8"/>
      <c r="C8"/>
      <c r="D8"/>
      <c r="K8" s="11"/>
    </row>
    <row r="9" spans="1:23" s="8" customFormat="1">
      <c r="A9"/>
      <c r="B9"/>
      <c r="C9"/>
      <c r="D9"/>
      <c r="K9" s="11"/>
    </row>
    <row r="10" spans="1:23" s="8" customFormat="1">
      <c r="A10"/>
      <c r="B10"/>
      <c r="C10"/>
      <c r="D10"/>
      <c r="K10" s="11"/>
    </row>
    <row r="11" spans="1:23" s="8" customFormat="1">
      <c r="K11" s="11"/>
    </row>
    <row r="12" spans="1:23" s="8" customFormat="1">
      <c r="K12" s="11"/>
    </row>
    <row r="13" spans="1:23" s="8" customFormat="1">
      <c r="K13" s="11"/>
    </row>
    <row r="14" spans="1:23" s="8" customFormat="1">
      <c r="K14" s="11"/>
    </row>
    <row r="15" spans="1:23" s="8" customFormat="1">
      <c r="K15" s="11"/>
    </row>
    <row r="16" spans="1:23" s="8" customFormat="1">
      <c r="K16" s="11"/>
    </row>
    <row r="17" spans="11:11" s="8" customFormat="1">
      <c r="K17" s="11"/>
    </row>
    <row r="18" spans="11:11" s="8" customFormat="1">
      <c r="K18" s="11"/>
    </row>
    <row r="19" spans="11:11" s="8" customFormat="1">
      <c r="K19" s="11"/>
    </row>
    <row r="20" spans="11:11" s="8" customFormat="1">
      <c r="K20" s="11"/>
    </row>
    <row r="21" spans="11:11" s="8" customFormat="1">
      <c r="K21" s="11"/>
    </row>
    <row r="22" spans="11:11" s="8" customFormat="1">
      <c r="K22" s="11"/>
    </row>
    <row r="23" spans="11:11" s="8" customFormat="1">
      <c r="K23" s="11"/>
    </row>
    <row r="24" spans="11:11" s="8" customFormat="1">
      <c r="K24" s="11"/>
    </row>
    <row r="25" spans="11:11" s="8" customFormat="1">
      <c r="K25" s="11"/>
    </row>
    <row r="26" spans="11:11" s="8" customFormat="1">
      <c r="K26" s="11"/>
    </row>
    <row r="27" spans="11:11" s="8" customFormat="1">
      <c r="K27" s="11"/>
    </row>
    <row r="28" spans="11:11" s="8" customFormat="1">
      <c r="K28" s="11"/>
    </row>
    <row r="29" spans="11:11" s="8" customFormat="1">
      <c r="K29" s="11"/>
    </row>
    <row r="30" spans="11:11" s="8" customFormat="1">
      <c r="K30" s="11"/>
    </row>
  </sheetData>
  <customSheetViews>
    <customSheetView guid="{E07207AA-C3D8-48F1-8681-AD90196968B3}" fitToPage="1" state="hidden">
      <selection activeCell="F32" sqref="F32"/>
      <pageMargins left="0.25" right="0.25" top="0.75" bottom="0.75" header="0.3" footer="0.3"/>
      <pageSetup paperSize="9" scale="71" orientation="landscape" r:id="rId1"/>
    </customSheetView>
  </customSheetViews>
  <pageMargins left="0.25" right="0.25" top="0.75" bottom="0.75" header="0.3" footer="0.3"/>
  <pageSetup paperSize="9" scale="45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D6F9D5BB5A63140867F6B240EB3499B" ma:contentTypeVersion="0" ma:contentTypeDescription="Створення нового документа." ma:contentTypeScope="" ma:versionID="e1d3ee8d3f75d516a6721a465b5c97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c0cebb24628af8e57c4c5575463c9c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BD2067-7B93-48C0-B7A8-E379A43AE3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09CECA-6E2E-4C47-B9C9-38115A8214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117AC5-4E06-4A62-B353-27874A4680C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6</vt:i4>
      </vt:variant>
    </vt:vector>
  </HeadingPairs>
  <TitlesOfParts>
    <vt:vector size="8" baseType="lpstr">
      <vt:lpstr>Калькулятор</vt:lpstr>
      <vt:lpstr>Продукти</vt:lpstr>
      <vt:lpstr>Maxamount</vt:lpstr>
      <vt:lpstr>Макс_срок</vt:lpstr>
      <vt:lpstr>Мін_срок</vt:lpstr>
      <vt:lpstr>Калькулятор!Область_друку</vt:lpstr>
      <vt:lpstr>Список_продуктов</vt:lpstr>
      <vt:lpstr>Срок_кредиту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Yurii.BOIKO@otpbank.com.ua</dc:creator>
  <cp:lastModifiedBy>BOIKO Yurii Sergiiovych</cp:lastModifiedBy>
  <cp:lastPrinted>2024-08-13T13:05:17Z</cp:lastPrinted>
  <dcterms:created xsi:type="dcterms:W3CDTF">1998-01-06T07:30:47Z</dcterms:created>
  <dcterms:modified xsi:type="dcterms:W3CDTF">2025-09-04T09:56:06Z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0x0101002D6F9D5BB5A63140867F6B240EB3499B</vt:lpwstr>
  </property>
</Properties>
</file>