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ЦяКнига" defaultThemeVersion="124226"/>
  <mc:AlternateContent xmlns:mc="http://schemas.openxmlformats.org/markup-compatibility/2006">
    <mc:Choice Requires="x15">
      <x15ac:absPath xmlns:x15ac="http://schemas.microsoft.com/office/spreadsheetml/2010/11/ac" url="M:\Product Development Division\2. Product Development Department\BoikoYS\Калькулятор\CASH\"/>
    </mc:Choice>
  </mc:AlternateContent>
  <workbookProtection workbookAlgorithmName="SHA-512" workbookHashValue="bJ9Mv3vzWg1INR/zyT2LcObS9F8w+Fw/unxjjV/QNQvig9xZxT8lQNeYnjy/m2PxkYNZYVr61I4oOpmfGgoP5A==" workbookSaltValue="7vEuxwfSH85yQlFnQLFQ4g==" workbookSpinCount="100000" lockStructure="1"/>
  <bookViews>
    <workbookView xWindow="0" yWindow="0" windowWidth="28800" windowHeight="10032" tabRatio="415"/>
  </bookViews>
  <sheets>
    <sheet name="Калькулятор" sheetId="2" r:id="rId1"/>
    <sheet name="Продукти" sheetId="3" state="hidden" r:id="rId2"/>
  </sheets>
  <definedNames>
    <definedName name="Maxamount">Калькулятор!$F$15</definedName>
    <definedName name="Z_E07207AA_C3D8_48F1_8681_AD90196968B3_.wvu.PrintArea" localSheetId="0" hidden="1">Калькулятор!$B$1:$K$75</definedName>
    <definedName name="Макс_срок">Продукти!$M$3</definedName>
    <definedName name="Мін_срок">Продукти!$L$3</definedName>
    <definedName name="_xlnm.Print_Area" localSheetId="0">Калькулятор!$B$1:$R$77</definedName>
    <definedName name="Список_продуктов">Продукти!$B$2:$B$2</definedName>
    <definedName name="Срок_кредиту">Калькулятор!$F$9</definedName>
  </definedNames>
  <calcPr calcId="162913" calcMode="autoNoTable"/>
  <customWorkbookViews>
    <customWorkbookView name="BEZLEPKIN Oleksandr Gennadiiovych - Личное представление" guid="{E07207AA-C3D8-48F1-8681-AD90196968B3}" mergeInterval="0" personalView="1" maximized="1" xWindow="-8" yWindow="-8" windowWidth="1296" windowHeight="1010" tabRatio="415" activeSheetId="2"/>
  </customWorkbookViews>
</workbook>
</file>

<file path=xl/calcChain.xml><?xml version="1.0" encoding="utf-8"?>
<calcChain xmlns="http://schemas.openxmlformats.org/spreadsheetml/2006/main">
  <c r="H5" i="2" l="1"/>
  <c r="G9" i="2"/>
  <c r="G8" i="2" l="1"/>
  <c r="B2" i="3" l="1"/>
  <c r="T99" i="2"/>
  <c r="U99" i="2" s="1"/>
  <c r="T98" i="2"/>
  <c r="U98" i="2" s="1"/>
  <c r="T97" i="2"/>
  <c r="U97" i="2" s="1"/>
  <c r="T96" i="2"/>
  <c r="U96" i="2" s="1"/>
  <c r="T95" i="2"/>
  <c r="U95" i="2" s="1"/>
  <c r="T94" i="2"/>
  <c r="U94" i="2" s="1"/>
  <c r="T93" i="2"/>
  <c r="U93" i="2" s="1"/>
  <c r="T92" i="2"/>
  <c r="U92" i="2" s="1"/>
  <c r="T91" i="2"/>
  <c r="U91" i="2" s="1"/>
  <c r="T90" i="2"/>
  <c r="U90" i="2" s="1"/>
  <c r="T89" i="2"/>
  <c r="U89" i="2" s="1"/>
  <c r="T88" i="2"/>
  <c r="U88" i="2" s="1"/>
  <c r="T87" i="2"/>
  <c r="U87" i="2" s="1"/>
  <c r="T86" i="2"/>
  <c r="U86" i="2" s="1"/>
  <c r="T85" i="2"/>
  <c r="U85" i="2" s="1"/>
  <c r="T84" i="2"/>
  <c r="U84" i="2" s="1"/>
  <c r="T83" i="2"/>
  <c r="U83" i="2" s="1"/>
  <c r="T82" i="2"/>
  <c r="U82" i="2" s="1"/>
  <c r="T81" i="2"/>
  <c r="U81" i="2" s="1"/>
  <c r="T80" i="2"/>
  <c r="U80" i="2" s="1"/>
  <c r="T79" i="2"/>
  <c r="U79" i="2" s="1"/>
  <c r="T78" i="2"/>
  <c r="U78" i="2" s="1"/>
  <c r="T77" i="2"/>
  <c r="U77" i="2" s="1"/>
  <c r="T76" i="2"/>
  <c r="U76" i="2" s="1"/>
  <c r="T75" i="2"/>
  <c r="T74" i="2"/>
  <c r="T73" i="2"/>
  <c r="T72" i="2"/>
  <c r="T71" i="2"/>
  <c r="T70" i="2"/>
  <c r="T69" i="2"/>
  <c r="T68" i="2"/>
  <c r="T67" i="2"/>
  <c r="T66" i="2"/>
  <c r="T65" i="2"/>
  <c r="T64" i="2"/>
  <c r="T63" i="2"/>
  <c r="T62" i="2"/>
  <c r="T61" i="2"/>
  <c r="T60" i="2"/>
  <c r="T59" i="2"/>
  <c r="T58" i="2"/>
  <c r="T57" i="2"/>
  <c r="T56" i="2"/>
  <c r="T55" i="2"/>
  <c r="T54" i="2"/>
  <c r="T53" i="2"/>
  <c r="T52" i="2"/>
  <c r="T51" i="2"/>
  <c r="T50" i="2"/>
  <c r="T49" i="2"/>
  <c r="T48" i="2"/>
  <c r="T47" i="2"/>
  <c r="T46" i="2"/>
  <c r="T45" i="2"/>
  <c r="T44" i="2"/>
  <c r="T43" i="2"/>
  <c r="T42" i="2"/>
  <c r="T41" i="2"/>
  <c r="T40" i="2"/>
  <c r="T39" i="2"/>
  <c r="T38" i="2"/>
  <c r="T37" i="2"/>
  <c r="T36" i="2"/>
  <c r="T35" i="2"/>
  <c r="T34" i="2"/>
  <c r="T33" i="2"/>
  <c r="T32" i="2"/>
  <c r="T31" i="2"/>
  <c r="T30" i="2"/>
  <c r="T29" i="2"/>
  <c r="T28" i="2"/>
  <c r="T27" i="2"/>
  <c r="T26" i="2"/>
  <c r="T25" i="2"/>
  <c r="T24" i="2"/>
  <c r="T23" i="2"/>
  <c r="T22" i="2"/>
  <c r="T21" i="2"/>
  <c r="T20" i="2"/>
  <c r="T19" i="2"/>
  <c r="T18" i="2"/>
  <c r="T17" i="2"/>
  <c r="T16" i="2"/>
  <c r="K2" i="3" l="1"/>
  <c r="R2" i="3"/>
  <c r="S2" i="3"/>
  <c r="B3" i="3" l="1"/>
  <c r="V3" i="3" l="1"/>
  <c r="F3" i="3"/>
  <c r="J3" i="3"/>
  <c r="G3" i="3"/>
  <c r="K3" i="3"/>
  <c r="C3" i="3"/>
  <c r="B9" i="2" s="1"/>
  <c r="H3" i="3"/>
  <c r="L3" i="3"/>
  <c r="Q3" i="3"/>
  <c r="U3" i="3"/>
  <c r="D3" i="3"/>
  <c r="I3" i="3"/>
  <c r="C77" i="2" l="1"/>
  <c r="J77" i="2" s="1"/>
  <c r="U75" i="2" s="1"/>
  <c r="C76" i="2"/>
  <c r="J76" i="2" s="1"/>
  <c r="U74" i="2" s="1"/>
  <c r="C75" i="2"/>
  <c r="J75" i="2" s="1"/>
  <c r="U73" i="2" s="1"/>
  <c r="C74" i="2"/>
  <c r="J74" i="2" s="1"/>
  <c r="U72" i="2" s="1"/>
  <c r="C73" i="2"/>
  <c r="J73" i="2" s="1"/>
  <c r="U71" i="2" s="1"/>
  <c r="C72" i="2"/>
  <c r="J72" i="2" s="1"/>
  <c r="U70" i="2" s="1"/>
  <c r="C71" i="2"/>
  <c r="J71" i="2" s="1"/>
  <c r="U69" i="2" s="1"/>
  <c r="C70" i="2"/>
  <c r="J70" i="2" s="1"/>
  <c r="U68" i="2" s="1"/>
  <c r="C69" i="2"/>
  <c r="J69" i="2" s="1"/>
  <c r="U67" i="2" s="1"/>
  <c r="C68" i="2"/>
  <c r="J68" i="2" s="1"/>
  <c r="U66" i="2" s="1"/>
  <c r="C67" i="2"/>
  <c r="J67" i="2" s="1"/>
  <c r="U65" i="2" s="1"/>
  <c r="C66" i="2"/>
  <c r="J66" i="2" s="1"/>
  <c r="U64" i="2" s="1"/>
  <c r="C65" i="2"/>
  <c r="J65" i="2" s="1"/>
  <c r="U63" i="2" s="1"/>
  <c r="C64" i="2"/>
  <c r="J64" i="2" s="1"/>
  <c r="U62" i="2" s="1"/>
  <c r="C63" i="2"/>
  <c r="J63" i="2" s="1"/>
  <c r="U61" i="2" s="1"/>
  <c r="C62" i="2"/>
  <c r="J62" i="2" s="1"/>
  <c r="U60" i="2" s="1"/>
  <c r="C61" i="2"/>
  <c r="J61" i="2" s="1"/>
  <c r="U59" i="2" s="1"/>
  <c r="C60" i="2"/>
  <c r="J60" i="2" s="1"/>
  <c r="U58" i="2" s="1"/>
  <c r="C59" i="2"/>
  <c r="J59" i="2" s="1"/>
  <c r="U57" i="2" s="1"/>
  <c r="C58" i="2"/>
  <c r="J58" i="2" s="1"/>
  <c r="U56" i="2" s="1"/>
  <c r="C57" i="2"/>
  <c r="J57" i="2" s="1"/>
  <c r="U55" i="2" s="1"/>
  <c r="C56" i="2"/>
  <c r="J56" i="2" s="1"/>
  <c r="U54" i="2" s="1"/>
  <c r="C55" i="2"/>
  <c r="J55" i="2" s="1"/>
  <c r="U53" i="2" s="1"/>
  <c r="C54" i="2"/>
  <c r="J54" i="2" s="1"/>
  <c r="U52" i="2" s="1"/>
  <c r="C53" i="2"/>
  <c r="J53" i="2" s="1"/>
  <c r="U51" i="2" s="1"/>
  <c r="C52" i="2"/>
  <c r="J52" i="2" s="1"/>
  <c r="U50" i="2" s="1"/>
  <c r="C51" i="2"/>
  <c r="J51" i="2" s="1"/>
  <c r="U49" i="2" s="1"/>
  <c r="C50" i="2"/>
  <c r="J50" i="2" s="1"/>
  <c r="U48" i="2" s="1"/>
  <c r="C49" i="2"/>
  <c r="J49" i="2" s="1"/>
  <c r="U47" i="2" s="1"/>
  <c r="C48" i="2"/>
  <c r="J48" i="2" s="1"/>
  <c r="U46" i="2" s="1"/>
  <c r="C47" i="2"/>
  <c r="J47" i="2" s="1"/>
  <c r="U45" i="2" s="1"/>
  <c r="C46" i="2"/>
  <c r="J46" i="2" s="1"/>
  <c r="U44" i="2" s="1"/>
  <c r="C45" i="2"/>
  <c r="J45" i="2" s="1"/>
  <c r="U43" i="2" s="1"/>
  <c r="C44" i="2"/>
  <c r="J44" i="2" s="1"/>
  <c r="U42" i="2" s="1"/>
  <c r="C43" i="2"/>
  <c r="J43" i="2" s="1"/>
  <c r="U41" i="2" s="1"/>
  <c r="C42" i="2"/>
  <c r="J42" i="2" s="1"/>
  <c r="U40" i="2" s="1"/>
  <c r="C41" i="2"/>
  <c r="J41" i="2" s="1"/>
  <c r="U39" i="2" s="1"/>
  <c r="C40" i="2"/>
  <c r="J40" i="2" s="1"/>
  <c r="U38" i="2" s="1"/>
  <c r="C39" i="2"/>
  <c r="J39" i="2" s="1"/>
  <c r="U37" i="2" s="1"/>
  <c r="C38" i="2"/>
  <c r="J38" i="2" s="1"/>
  <c r="U36" i="2" s="1"/>
  <c r="C37" i="2"/>
  <c r="J37" i="2" s="1"/>
  <c r="U35" i="2" s="1"/>
  <c r="C36" i="2"/>
  <c r="J36" i="2" s="1"/>
  <c r="U34" i="2" s="1"/>
  <c r="C35" i="2"/>
  <c r="J35" i="2" s="1"/>
  <c r="U33" i="2" s="1"/>
  <c r="C34" i="2"/>
  <c r="J34" i="2" s="1"/>
  <c r="U32" i="2" s="1"/>
  <c r="C33" i="2"/>
  <c r="J33" i="2" s="1"/>
  <c r="U31" i="2" s="1"/>
  <c r="C32" i="2"/>
  <c r="J32" i="2" s="1"/>
  <c r="U30" i="2" s="1"/>
  <c r="C31" i="2"/>
  <c r="J31" i="2" s="1"/>
  <c r="U29" i="2" s="1"/>
  <c r="C30" i="2"/>
  <c r="J30" i="2" s="1"/>
  <c r="U28" i="2" s="1"/>
  <c r="C29" i="2"/>
  <c r="J29" i="2" s="1"/>
  <c r="U27" i="2" s="1"/>
  <c r="C28" i="2"/>
  <c r="J28" i="2" s="1"/>
  <c r="U26" i="2" s="1"/>
  <c r="C27" i="2"/>
  <c r="J27" i="2" s="1"/>
  <c r="U25" i="2" s="1"/>
  <c r="C26" i="2"/>
  <c r="J26" i="2" s="1"/>
  <c r="U24" i="2" s="1"/>
  <c r="C25" i="2"/>
  <c r="J25" i="2" s="1"/>
  <c r="U23" i="2" s="1"/>
  <c r="C24" i="2"/>
  <c r="J24" i="2" s="1"/>
  <c r="U22" i="2" s="1"/>
  <c r="C23" i="2"/>
  <c r="J23" i="2" s="1"/>
  <c r="U21" i="2" s="1"/>
  <c r="C22" i="2"/>
  <c r="J22" i="2" s="1"/>
  <c r="U20" i="2" s="1"/>
  <c r="C21" i="2"/>
  <c r="J21" i="2" s="1"/>
  <c r="U19" i="2" s="1"/>
  <c r="C20" i="2"/>
  <c r="J20" i="2" s="1"/>
  <c r="U18" i="2" s="1"/>
  <c r="C19" i="2"/>
  <c r="J19" i="2" s="1"/>
  <c r="U17" i="2" s="1"/>
  <c r="C18" i="2"/>
  <c r="J18" i="2" s="1"/>
  <c r="D18" i="2" l="1"/>
  <c r="D19" i="2" s="1"/>
  <c r="D20" i="2" s="1"/>
  <c r="D21" i="2" s="1"/>
  <c r="D22" i="2" s="1"/>
  <c r="D23" i="2" s="1"/>
  <c r="D24" i="2" s="1"/>
  <c r="D25" i="2" s="1"/>
  <c r="D26" i="2" s="1"/>
  <c r="D27" i="2" s="1"/>
  <c r="D28" i="2" s="1"/>
  <c r="D29" i="2" s="1"/>
  <c r="D30" i="2" s="1"/>
  <c r="D31" i="2" s="1"/>
  <c r="D32" i="2" s="1"/>
  <c r="D33" i="2" s="1"/>
  <c r="D34" i="2" s="1"/>
  <c r="D35" i="2" s="1"/>
  <c r="D36" i="2" s="1"/>
  <c r="D37" i="2" s="1"/>
  <c r="D38" i="2" s="1"/>
  <c r="D39" i="2" s="1"/>
  <c r="D40" i="2" s="1"/>
  <c r="D41" i="2" s="1"/>
  <c r="D42" i="2" s="1"/>
  <c r="D43" i="2" s="1"/>
  <c r="D44" i="2" s="1"/>
  <c r="D45" i="2" s="1"/>
  <c r="D46" i="2" s="1"/>
  <c r="D47" i="2" s="1"/>
  <c r="D48" i="2" s="1"/>
  <c r="D49" i="2" s="1"/>
  <c r="D50" i="2" s="1"/>
  <c r="D51" i="2" s="1"/>
  <c r="D52" i="2" s="1"/>
  <c r="D53" i="2" s="1"/>
  <c r="D54" i="2" s="1"/>
  <c r="D55" i="2" s="1"/>
  <c r="D56" i="2" s="1"/>
  <c r="D57" i="2" s="1"/>
  <c r="D58" i="2" s="1"/>
  <c r="D59" i="2" s="1"/>
  <c r="D60" i="2" s="1"/>
  <c r="D61" i="2" s="1"/>
  <c r="D62" i="2" s="1"/>
  <c r="D63" i="2" s="1"/>
  <c r="D64" i="2" s="1"/>
  <c r="D65" i="2" s="1"/>
  <c r="D66" i="2" s="1"/>
  <c r="D67" i="2" s="1"/>
  <c r="D68" i="2" s="1"/>
  <c r="D69" i="2" s="1"/>
  <c r="D70" i="2" s="1"/>
  <c r="D71" i="2" s="1"/>
  <c r="D72" i="2" s="1"/>
  <c r="D73" i="2" s="1"/>
  <c r="D74" i="2" s="1"/>
  <c r="D75" i="2" s="1"/>
  <c r="D76" i="2" s="1"/>
  <c r="D77" i="2" s="1"/>
  <c r="D17" i="2"/>
  <c r="G14" i="2" l="1"/>
  <c r="F15" i="2" s="1"/>
  <c r="E17" i="2" s="1"/>
  <c r="N2" i="3" l="1"/>
  <c r="T2" i="3"/>
  <c r="P3" i="3"/>
  <c r="S3" i="3"/>
  <c r="W1" i="3"/>
  <c r="G13" i="2"/>
  <c r="H17" i="2" l="1"/>
  <c r="V81" i="2"/>
  <c r="V77" i="2"/>
  <c r="V89" i="2"/>
  <c r="V91" i="2"/>
  <c r="V80" i="2"/>
  <c r="V85" i="2"/>
  <c r="V90" i="2"/>
  <c r="V79" i="2"/>
  <c r="V96" i="2"/>
  <c r="V86" i="2"/>
  <c r="V76" i="2"/>
  <c r="V98" i="2"/>
  <c r="V87" i="2"/>
  <c r="V84" i="2"/>
  <c r="V97" i="2"/>
  <c r="V83" i="2"/>
  <c r="V93" i="2"/>
  <c r="V82" i="2"/>
  <c r="V94" i="2"/>
  <c r="V99" i="2"/>
  <c r="V92" i="2"/>
  <c r="V88" i="2"/>
  <c r="V78" i="2"/>
  <c r="V95" i="2"/>
  <c r="V71" i="2"/>
  <c r="V72" i="2"/>
  <c r="V65" i="2"/>
  <c r="V75" i="2"/>
  <c r="V70" i="2"/>
  <c r="V73" i="2"/>
  <c r="V74" i="2"/>
  <c r="V69" i="2"/>
  <c r="V68" i="2"/>
  <c r="V67" i="2"/>
  <c r="V66" i="2"/>
  <c r="V64" i="2"/>
  <c r="V19" i="2"/>
  <c r="V23" i="2"/>
  <c r="V27" i="2"/>
  <c r="V31" i="2"/>
  <c r="V35" i="2"/>
  <c r="V39" i="2"/>
  <c r="V43" i="2"/>
  <c r="V47" i="2"/>
  <c r="V51" i="2"/>
  <c r="V55" i="2"/>
  <c r="V59" i="2"/>
  <c r="V63" i="2"/>
  <c r="V22" i="2"/>
  <c r="V30" i="2"/>
  <c r="V42" i="2"/>
  <c r="V50" i="2"/>
  <c r="V58" i="2"/>
  <c r="V20" i="2"/>
  <c r="V24" i="2"/>
  <c r="V28" i="2"/>
  <c r="V32" i="2"/>
  <c r="V36" i="2"/>
  <c r="V40" i="2"/>
  <c r="V44" i="2"/>
  <c r="V48" i="2"/>
  <c r="V52" i="2"/>
  <c r="V56" i="2"/>
  <c r="V60" i="2"/>
  <c r="V17" i="2"/>
  <c r="V21" i="2"/>
  <c r="V25" i="2"/>
  <c r="V29" i="2"/>
  <c r="V33" i="2"/>
  <c r="V37" i="2"/>
  <c r="V41" i="2"/>
  <c r="V45" i="2"/>
  <c r="V49" i="2"/>
  <c r="V53" i="2"/>
  <c r="V57" i="2"/>
  <c r="V61" i="2"/>
  <c r="V18" i="2"/>
  <c r="V26" i="2"/>
  <c r="V34" i="2"/>
  <c r="V38" i="2"/>
  <c r="V46" i="2"/>
  <c r="V54" i="2"/>
  <c r="V62" i="2"/>
  <c r="T3" i="3"/>
  <c r="M3" i="3"/>
  <c r="R3" i="3"/>
  <c r="W17" i="2" l="1"/>
  <c r="A18" i="2"/>
  <c r="G18" i="2"/>
  <c r="N3" i="3"/>
  <c r="E18" i="2" l="1"/>
  <c r="M9" i="2" l="1"/>
  <c r="H18" i="2"/>
  <c r="F18" i="2"/>
  <c r="A19" i="2" l="1"/>
  <c r="G19" i="2"/>
  <c r="E19" i="2" l="1"/>
  <c r="F19" i="2" l="1"/>
  <c r="H19" i="2"/>
  <c r="A20" i="2" l="1"/>
  <c r="G20" i="2"/>
  <c r="E20" i="2" l="1"/>
  <c r="F20" i="2" l="1"/>
  <c r="H20" i="2"/>
  <c r="G21" i="2" s="1"/>
  <c r="A21" i="2" l="1"/>
  <c r="E21" i="2" s="1"/>
  <c r="F21" i="2" s="1"/>
  <c r="H21" i="2" l="1"/>
  <c r="A22" i="2" l="1"/>
  <c r="G22" i="2"/>
  <c r="E22" i="2" l="1"/>
  <c r="F22" i="2" s="1"/>
  <c r="H22" i="2" l="1"/>
  <c r="A23" i="2" l="1"/>
  <c r="G23" i="2"/>
  <c r="E23" i="2" l="1"/>
  <c r="F23" i="2" s="1"/>
  <c r="H23" i="2" l="1"/>
  <c r="G24" i="2" s="1"/>
  <c r="A24" i="2" l="1"/>
  <c r="E24" i="2" s="1"/>
  <c r="F24" i="2" s="1"/>
  <c r="H24" i="2" l="1"/>
  <c r="G25" i="2" s="1"/>
  <c r="A25" i="2" l="1"/>
  <c r="E25" i="2" s="1"/>
  <c r="F25" i="2" s="1"/>
  <c r="H25" i="2" l="1"/>
  <c r="G26" i="2" s="1"/>
  <c r="A26" i="2" l="1"/>
  <c r="E26" i="2" s="1"/>
  <c r="F26" i="2" s="1"/>
  <c r="H26" i="2" l="1"/>
  <c r="G27" i="2" s="1"/>
  <c r="A27" i="2" l="1"/>
  <c r="E27" i="2" s="1"/>
  <c r="F27" i="2" s="1"/>
  <c r="H27" i="2" l="1"/>
  <c r="G28" i="2" s="1"/>
  <c r="A28" i="2" l="1"/>
  <c r="E28" i="2" s="1"/>
  <c r="F28" i="2" s="1"/>
  <c r="H28" i="2" l="1"/>
  <c r="A29" i="2" s="1"/>
  <c r="G29" i="2" l="1"/>
  <c r="E29" i="2" s="1"/>
  <c r="F29" i="2" s="1"/>
  <c r="H29" i="2" l="1"/>
  <c r="A30" i="2" s="1"/>
  <c r="G30" i="2" l="1"/>
  <c r="E30" i="2" s="1"/>
  <c r="F30" i="2" s="1"/>
  <c r="H30" i="2" l="1"/>
  <c r="G31" i="2" s="1"/>
  <c r="A31" i="2" l="1"/>
  <c r="E31" i="2" s="1"/>
  <c r="F31" i="2" s="1"/>
  <c r="H31" i="2" l="1"/>
  <c r="A32" i="2" s="1"/>
  <c r="G32" i="2" l="1"/>
  <c r="E32" i="2" s="1"/>
  <c r="F32" i="2" s="1"/>
  <c r="H32" i="2" l="1"/>
  <c r="A33" i="2" s="1"/>
  <c r="G33" i="2" l="1"/>
  <c r="E33" i="2" s="1"/>
  <c r="F33" i="2" s="1"/>
  <c r="H33" i="2" l="1"/>
  <c r="G34" i="2" s="1"/>
  <c r="A34" i="2" l="1"/>
  <c r="E34" i="2" s="1"/>
  <c r="F34" i="2" s="1"/>
  <c r="H34" i="2" l="1"/>
  <c r="G35" i="2" s="1"/>
  <c r="A35" i="2" l="1"/>
  <c r="E35" i="2" s="1"/>
  <c r="F35" i="2" s="1"/>
  <c r="H35" i="2" l="1"/>
  <c r="G36" i="2" s="1"/>
  <c r="A36" i="2" l="1"/>
  <c r="E36" i="2" s="1"/>
  <c r="F36" i="2" s="1"/>
  <c r="H36" i="2" l="1"/>
  <c r="G37" i="2" s="1"/>
  <c r="A37" i="2" l="1"/>
  <c r="E37" i="2" s="1"/>
  <c r="F37" i="2" s="1"/>
  <c r="H37" i="2" l="1"/>
  <c r="G38" i="2" s="1"/>
  <c r="A38" i="2" l="1"/>
  <c r="E38" i="2" s="1"/>
  <c r="F38" i="2" s="1"/>
  <c r="H38" i="2" l="1"/>
  <c r="G39" i="2" s="1"/>
  <c r="A39" i="2" l="1"/>
  <c r="E39" i="2" s="1"/>
  <c r="F39" i="2" s="1"/>
  <c r="H39" i="2" l="1"/>
  <c r="A40" i="2" l="1"/>
  <c r="G40" i="2"/>
  <c r="E40" i="2" l="1"/>
  <c r="F40" i="2" s="1"/>
  <c r="H40" i="2" l="1"/>
  <c r="A41" i="2" s="1"/>
  <c r="G41" i="2" l="1"/>
  <c r="E41" i="2" s="1"/>
  <c r="F41" i="2" s="1"/>
  <c r="H41" i="2" l="1"/>
  <c r="A42" i="2" l="1"/>
  <c r="G42" i="2"/>
  <c r="E42" i="2" l="1"/>
  <c r="H42" i="2" s="1"/>
  <c r="A43" i="2" l="1"/>
  <c r="G43" i="2"/>
  <c r="E43" i="2" s="1"/>
  <c r="F42" i="2"/>
  <c r="H43" i="2" l="1"/>
  <c r="F43" i="2"/>
  <c r="A44" i="2" l="1"/>
  <c r="G44" i="2"/>
  <c r="E44" i="2" l="1"/>
  <c r="F44" i="2" s="1"/>
  <c r="H44" i="2" l="1"/>
  <c r="A45" i="2" s="1"/>
  <c r="G45" i="2" l="1"/>
  <c r="E45" i="2" s="1"/>
  <c r="H45" i="2" s="1"/>
  <c r="A46" i="2" l="1"/>
  <c r="G46" i="2"/>
  <c r="F45" i="2"/>
  <c r="E46" i="2" l="1"/>
  <c r="F46" i="2" s="1"/>
  <c r="H46" i="2" l="1"/>
  <c r="A47" i="2" s="1"/>
  <c r="G47" i="2" l="1"/>
  <c r="E47" i="2" s="1"/>
  <c r="F47" i="2" s="1"/>
  <c r="H47" i="2" l="1"/>
  <c r="A48" i="2" l="1"/>
  <c r="G48" i="2"/>
  <c r="E48" i="2" l="1"/>
  <c r="F48" i="2" s="1"/>
  <c r="H48" i="2" l="1"/>
  <c r="A49" i="2" s="1"/>
  <c r="G49" i="2" l="1"/>
  <c r="E49" i="2" s="1"/>
  <c r="F49" i="2" s="1"/>
  <c r="H49" i="2" l="1"/>
  <c r="A50" i="2" s="1"/>
  <c r="G50" i="2" l="1"/>
  <c r="E50" i="2" s="1"/>
  <c r="F50" i="2" s="1"/>
  <c r="H50" i="2" l="1"/>
  <c r="A51" i="2" s="1"/>
  <c r="G51" i="2" l="1"/>
  <c r="E51" i="2" s="1"/>
  <c r="F51" i="2" s="1"/>
  <c r="H51" i="2" l="1"/>
  <c r="A52" i="2" s="1"/>
  <c r="G52" i="2" l="1"/>
  <c r="E52" i="2" s="1"/>
  <c r="F52" i="2" s="1"/>
  <c r="H52" i="2" l="1"/>
  <c r="A53" i="2" s="1"/>
  <c r="G53" i="2" l="1"/>
  <c r="E53" i="2" s="1"/>
  <c r="F53" i="2" s="1"/>
  <c r="H53" i="2" l="1"/>
  <c r="A54" i="2" s="1"/>
  <c r="G54" i="2" l="1"/>
  <c r="E54" i="2" s="1"/>
  <c r="F54" i="2" s="1"/>
  <c r="H54" i="2" l="1"/>
  <c r="A55" i="2" l="1"/>
  <c r="G55" i="2"/>
  <c r="E55" i="2" l="1"/>
  <c r="F55" i="2" s="1"/>
  <c r="H55" i="2" l="1"/>
  <c r="G56" i="2" s="1"/>
  <c r="A56" i="2" l="1"/>
  <c r="E56" i="2" s="1"/>
  <c r="F56" i="2" s="1"/>
  <c r="H56" i="2" l="1"/>
  <c r="A57" i="2" s="1"/>
  <c r="G57" i="2" l="1"/>
  <c r="E57" i="2" s="1"/>
  <c r="F57" i="2" s="1"/>
  <c r="H57" i="2" l="1"/>
  <c r="A58" i="2" s="1"/>
  <c r="G58" i="2" l="1"/>
  <c r="E58" i="2" s="1"/>
  <c r="F58" i="2" s="1"/>
  <c r="H58" i="2" l="1"/>
  <c r="A59" i="2" s="1"/>
  <c r="G59" i="2" l="1"/>
  <c r="E59" i="2" s="1"/>
  <c r="H59" i="2" s="1"/>
  <c r="A60" i="2" l="1"/>
  <c r="G60" i="2"/>
  <c r="F59" i="2"/>
  <c r="E60" i="2" l="1"/>
  <c r="F60" i="2" s="1"/>
  <c r="H60" i="2" l="1"/>
  <c r="A61" i="2" s="1"/>
  <c r="G61" i="2" l="1"/>
  <c r="E61" i="2" s="1"/>
  <c r="F61" i="2" s="1"/>
  <c r="H61" i="2" l="1"/>
  <c r="A62" i="2" s="1"/>
  <c r="G62" i="2" l="1"/>
  <c r="E62" i="2" s="1"/>
  <c r="F62" i="2" s="1"/>
  <c r="H62" i="2" l="1"/>
  <c r="A63" i="2" s="1"/>
  <c r="G63" i="2" l="1"/>
  <c r="E63" i="2" s="1"/>
  <c r="F63" i="2" s="1"/>
  <c r="H63" i="2" l="1"/>
  <c r="A64" i="2" s="1"/>
  <c r="G64" i="2" l="1"/>
  <c r="E64" i="2" s="1"/>
  <c r="F64" i="2" s="1"/>
  <c r="H64" i="2" l="1"/>
  <c r="A65" i="2" s="1"/>
  <c r="G65" i="2" l="1"/>
  <c r="E65" i="2" s="1"/>
  <c r="H65" i="2" s="1"/>
  <c r="A66" i="2" s="1"/>
  <c r="F65" i="2" l="1"/>
  <c r="G66" i="2"/>
  <c r="E66" i="2" s="1"/>
  <c r="F66" i="2" s="1"/>
  <c r="H66" i="2" l="1"/>
  <c r="A67" i="2" s="1"/>
  <c r="G67" i="2" l="1"/>
  <c r="E67" i="2" s="1"/>
  <c r="F67" i="2" s="1"/>
  <c r="H67" i="2" l="1"/>
  <c r="A68" i="2" s="1"/>
  <c r="G68" i="2" l="1"/>
  <c r="E68" i="2" s="1"/>
  <c r="H68" i="2" s="1"/>
  <c r="A69" i="2" l="1"/>
  <c r="G69" i="2"/>
  <c r="F68" i="2"/>
  <c r="E69" i="2" l="1"/>
  <c r="F69" i="2" s="1"/>
  <c r="H69" i="2" l="1"/>
  <c r="A70" i="2" s="1"/>
  <c r="G70" i="2" l="1"/>
  <c r="E70" i="2" s="1"/>
  <c r="F70" i="2" s="1"/>
  <c r="H70" i="2" l="1"/>
  <c r="A71" i="2" s="1"/>
  <c r="G71" i="2" l="1"/>
  <c r="E71" i="2" s="1"/>
  <c r="F71" i="2" s="1"/>
  <c r="H71" i="2" l="1"/>
  <c r="A72" i="2" s="1"/>
  <c r="G72" i="2" l="1"/>
  <c r="E72" i="2" s="1"/>
  <c r="F72" i="2" s="1"/>
  <c r="H72" i="2" l="1"/>
  <c r="A73" i="2" s="1"/>
  <c r="G73" i="2" l="1"/>
  <c r="E73" i="2" s="1"/>
  <c r="F73" i="2" s="1"/>
  <c r="H73" i="2" l="1"/>
  <c r="A74" i="2" s="1"/>
  <c r="G74" i="2" l="1"/>
  <c r="E74" i="2" s="1"/>
  <c r="F74" i="2" s="1"/>
  <c r="H74" i="2" l="1"/>
  <c r="A75" i="2" s="1"/>
  <c r="G75" i="2" l="1"/>
  <c r="E75" i="2" s="1"/>
  <c r="H75" i="2" s="1"/>
  <c r="A76" i="2" l="1"/>
  <c r="G76" i="2"/>
  <c r="F75" i="2"/>
  <c r="E76" i="2" l="1"/>
  <c r="H76" i="2" s="1"/>
  <c r="A77" i="2" s="1"/>
  <c r="F76" i="2" l="1"/>
  <c r="G77" i="2"/>
  <c r="G17" i="2" l="1"/>
  <c r="E77" i="2"/>
  <c r="M10" i="2" l="1"/>
  <c r="M11" i="2" s="1"/>
  <c r="F77" i="2"/>
  <c r="F17" i="2" s="1"/>
  <c r="M12" i="2"/>
  <c r="H77" i="2"/>
</calcChain>
</file>

<file path=xl/sharedStrings.xml><?xml version="1.0" encoding="utf-8"?>
<sst xmlns="http://schemas.openxmlformats.org/spreadsheetml/2006/main" count="60" uniqueCount="56">
  <si>
    <t>№</t>
  </si>
  <si>
    <t>Продукт</t>
  </si>
  <si>
    <t>Страх. Тариф
Do not Use</t>
  </si>
  <si>
    <t>грн.</t>
  </si>
  <si>
    <t>Розрахунок кредиту</t>
  </si>
  <si>
    <t>Термін кредиту, міс</t>
  </si>
  <si>
    <t>Щомісячна комісія, %</t>
  </si>
  <si>
    <t>Одноразова комісія, %</t>
  </si>
  <si>
    <t>Дата платежу</t>
  </si>
  <si>
    <t>Щомісячний платіж</t>
  </si>
  <si>
    <t>Тіло кредиту</t>
  </si>
  <si>
    <t>Відсотки</t>
  </si>
  <si>
    <t>Залишок тіла кредиту</t>
  </si>
  <si>
    <t xml:space="preserve">Назва продукту </t>
  </si>
  <si>
    <t>відсутня</t>
  </si>
  <si>
    <r>
      <t xml:space="preserve">Одноразова комісія за видачу кредиту </t>
    </r>
    <r>
      <rPr>
        <sz val="10"/>
        <color rgb="FF000000"/>
        <rFont val="Calibri"/>
        <family val="2"/>
        <charset val="204"/>
      </rPr>
      <t>(включена в щомісячний платіж)</t>
    </r>
    <r>
      <rPr>
        <b/>
        <sz val="10"/>
        <color rgb="FF000000"/>
        <rFont val="Calibri"/>
        <family val="2"/>
        <charset val="204"/>
      </rPr>
      <t>, %</t>
    </r>
  </si>
  <si>
    <t>Параметри продукту</t>
  </si>
  <si>
    <t>Standart</t>
  </si>
  <si>
    <t>#</t>
  </si>
  <si>
    <t>Назва продукту</t>
  </si>
  <si>
    <t>Термін Grace, міс.</t>
  </si>
  <si>
    <t>Комісія в Grace</t>
  </si>
  <si>
    <t>Річна ставка в Grace, %</t>
  </si>
  <si>
    <t>Річна ставка</t>
  </si>
  <si>
    <t>Щоміс.комісія</t>
  </si>
  <si>
    <t>Разова комісія</t>
  </si>
  <si>
    <t>Мін.сума, грн</t>
  </si>
  <si>
    <t>Макс.сума, грн</t>
  </si>
  <si>
    <t>Ліміти</t>
  </si>
  <si>
    <t>Термін, мін</t>
  </si>
  <si>
    <t>Термін, макс</t>
  </si>
  <si>
    <t>Термін, міс</t>
  </si>
  <si>
    <t>Мін.вік</t>
  </si>
  <si>
    <t>Макс.вік</t>
  </si>
  <si>
    <t>Примітка</t>
  </si>
  <si>
    <t>Стаж роботи</t>
  </si>
  <si>
    <t>Мінімальний дохід, грн</t>
  </si>
  <si>
    <t>Product type</t>
  </si>
  <si>
    <t>Subtype</t>
  </si>
  <si>
    <t>big</t>
  </si>
  <si>
    <t>Загальна вартість кредиту</t>
  </si>
  <si>
    <t>1 міс</t>
  </si>
  <si>
    <t>Реальна річна процентна ставка</t>
  </si>
  <si>
    <t xml:space="preserve">Щомісячний платіж </t>
  </si>
  <si>
    <t>Загальні витрати за кредитом</t>
  </si>
  <si>
    <t>Термін пільгового періоду</t>
  </si>
  <si>
    <t>Річна ставка в пільговий період, %</t>
  </si>
  <si>
    <t>Бажана сума, грн.</t>
  </si>
  <si>
    <t>Сума кредиту, грн</t>
  </si>
  <si>
    <t>Кращ на Гроші</t>
  </si>
  <si>
    <t>УМОВИ КРЕДИТУВАННЯ ВІД 
"OTP BANK"</t>
  </si>
  <si>
    <t>Термін кредиту, міс.</t>
  </si>
  <si>
    <t>Річна ставка після пільгового періоду %</t>
  </si>
  <si>
    <t>Термін пільгового періоду, міс</t>
  </si>
  <si>
    <t>Річна ставка після пільгового періоду, %</t>
  </si>
  <si>
    <t>24 - 60 міс.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</si>
</sst>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(* #,##0.00_);_(* \(#,##0.00\);_(* &quot;-&quot;??_);_(@_)"/>
    <numFmt numFmtId="165" formatCode="_-* #,##0.00_₴_-;\-* #,##0.00_₴_-;_-* &quot;-&quot;??_₴_-;_-@_-"/>
    <numFmt numFmtId="166" formatCode="_-* #,##0.00\ _г_р_н_._-;\-* #,##0.00\ _г_р_н_._-;_-* &quot;-&quot;??\ _г_р_н_._-;_-@_-"/>
    <numFmt numFmtId="167" formatCode="_-* #,##0.00_р_._-;\-* #,##0.00_р_._-;_-* &quot;-&quot;??_р_._-;_-@_-"/>
    <numFmt numFmtId="168" formatCode="_-* #,##0.00\ [$грн.-422]_-;\-* #,##0.00\ [$грн.-422]_-;_-* &quot;-&quot;??\ [$грн.-422]_-;_-@_-"/>
    <numFmt numFmtId="169" formatCode="_-* #,##0.00_р_._-;\-* #,##0.00_р_._-;_-* \-??_р_._-;_-@_-"/>
    <numFmt numFmtId="170" formatCode="_-* #,##0.00&quot;р.&quot;_-;\-* #,##0.00&quot;р.&quot;_-;_-* &quot;-&quot;??&quot;р.&quot;_-;_-@_-"/>
    <numFmt numFmtId="171" formatCode="_-* #,##0\ [$грн.-422]_-;\-* #,##0\ [$грн.-422]_-;_-* &quot;-&quot;??\ [$грн.-422]_-;_-@_-"/>
  </numFmts>
  <fonts count="30">
    <font>
      <sz val="10"/>
      <name val="Arial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8"/>
      <name val="Arial"/>
      <family val="2"/>
      <charset val="204"/>
    </font>
    <font>
      <b/>
      <i/>
      <sz val="10"/>
      <name val="Arial"/>
      <family val="2"/>
      <charset val="204"/>
    </font>
    <font>
      <sz val="10"/>
      <name val="Arial Cyr"/>
      <charset val="204"/>
    </font>
    <font>
      <sz val="10"/>
      <name val="Arial Cyr"/>
      <family val="2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b/>
      <i/>
      <sz val="14"/>
      <name val="Formata OTP Lig"/>
      <family val="2"/>
    </font>
    <font>
      <sz val="11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sz val="10"/>
      <color theme="0" tint="-0.34998626667073579"/>
      <name val="Calibri"/>
      <family val="2"/>
      <charset val="204"/>
      <scheme val="minor"/>
    </font>
    <font>
      <b/>
      <i/>
      <sz val="11"/>
      <color theme="3"/>
      <name val="Calibri"/>
      <family val="2"/>
      <charset val="204"/>
      <scheme val="minor"/>
    </font>
    <font>
      <sz val="10"/>
      <color rgb="FFFF0000"/>
      <name val="Arial"/>
      <family val="2"/>
      <charset val="204"/>
    </font>
    <font>
      <b/>
      <i/>
      <sz val="10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sz val="10"/>
      <color theme="0" tint="-0.34998626667073579"/>
      <name val="Arial"/>
      <family val="2"/>
      <charset val="204"/>
    </font>
    <font>
      <sz val="10"/>
      <color theme="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b/>
      <sz val="8"/>
      <color theme="0" tint="-4.9989318521683403E-2"/>
      <name val="Calibri"/>
      <family val="2"/>
      <charset val="204"/>
      <scheme val="minor"/>
    </font>
    <font>
      <sz val="10"/>
      <color theme="0" tint="-0.249977111117893"/>
      <name val="Calibri"/>
      <family val="2"/>
      <charset val="204"/>
      <scheme val="minor"/>
    </font>
    <font>
      <sz val="10"/>
      <color theme="0"/>
      <name val="Calibri"/>
      <family val="2"/>
      <charset val="204"/>
      <scheme val="minor"/>
    </font>
    <font>
      <b/>
      <i/>
      <sz val="12"/>
      <color rgb="FF04543B"/>
      <name val="Formata OTP Lig"/>
      <family val="2"/>
    </font>
    <font>
      <b/>
      <sz val="10"/>
      <color rgb="FF000000"/>
      <name val="Calibri"/>
      <family val="2"/>
      <charset val="204"/>
    </font>
    <font>
      <sz val="10"/>
      <color rgb="FF000000"/>
      <name val="Calibri"/>
      <family val="2"/>
      <charset val="204"/>
    </font>
    <font>
      <b/>
      <sz val="10"/>
      <color rgb="FFFEF79C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rgb="FFFF0000"/>
      <name val="Calibri"/>
      <family val="2"/>
      <charset val="204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gradientFill degree="90">
        <stop position="0">
          <color rgb="FF92D050"/>
        </stop>
        <stop position="0.5">
          <color theme="6" tint="0.80001220740379042"/>
        </stop>
        <stop position="1">
          <color rgb="FF92D050"/>
        </stop>
      </gradientFill>
    </fill>
    <fill>
      <patternFill patternType="solid">
        <fgColor theme="1"/>
        <bgColor indexed="64"/>
      </patternFill>
    </fill>
    <fill>
      <gradientFill degree="180">
        <stop position="0">
          <color theme="0"/>
        </stop>
        <stop position="1">
          <color theme="0" tint="-0.25098422193060094"/>
        </stop>
      </gradientFill>
    </fill>
    <fill>
      <patternFill patternType="solid">
        <fgColor rgb="FFFF000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/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/>
      <top style="thin">
        <color theme="0" tint="-4.9989318521683403E-2"/>
      </top>
      <bottom/>
      <diagonal/>
    </border>
    <border>
      <left/>
      <right style="thin">
        <color theme="0" tint="-4.9989318521683403E-2"/>
      </right>
      <top style="thin">
        <color theme="0" tint="-4.9989318521683403E-2"/>
      </top>
      <bottom/>
      <diagonal/>
    </border>
    <border>
      <left style="double">
        <color theme="0" tint="-4.9989318521683403E-2"/>
      </left>
      <right style="thin">
        <color theme="0" tint="-4.9989318521683403E-2"/>
      </right>
      <top/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hair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</borders>
  <cellStyleXfs count="104">
    <xf numFmtId="0" fontId="0" fillId="0" borderId="0"/>
    <xf numFmtId="169" fontId="7" fillId="0" borderId="0" applyFill="0" applyBorder="0" applyAlignment="0" applyProtection="0"/>
    <xf numFmtId="167" fontId="5" fillId="0" borderId="0" applyFont="0" applyFill="0" applyBorder="0" applyAlignment="0" applyProtection="0"/>
    <xf numFmtId="0" fontId="6" fillId="0" borderId="0"/>
    <xf numFmtId="0" fontId="5" fillId="0" borderId="0"/>
    <xf numFmtId="9" fontId="7" fillId="0" borderId="0" applyFill="0" applyBorder="0" applyAlignment="0" applyProtection="0"/>
    <xf numFmtId="9" fontId="5" fillId="0" borderId="0" applyFont="0" applyFill="0" applyBorder="0" applyAlignment="0" applyProtection="0"/>
    <xf numFmtId="170" fontId="10" fillId="0" borderId="0" applyFont="0" applyFill="0" applyBorder="0" applyAlignment="0" applyProtection="0"/>
    <xf numFmtId="170" fontId="10" fillId="0" borderId="0" applyFont="0" applyFill="0" applyBorder="0" applyAlignment="0" applyProtection="0"/>
    <xf numFmtId="170" fontId="10" fillId="0" borderId="0" applyFont="0" applyFill="0" applyBorder="0" applyAlignment="0" applyProtection="0"/>
    <xf numFmtId="170" fontId="10" fillId="0" borderId="0" applyFont="0" applyFill="0" applyBorder="0" applyAlignment="0" applyProtection="0"/>
    <xf numFmtId="0" fontId="10" fillId="0" borderId="0"/>
    <xf numFmtId="0" fontId="10" fillId="0" borderId="0"/>
    <xf numFmtId="0" fontId="5" fillId="0" borderId="0"/>
    <xf numFmtId="0" fontId="6" fillId="0" borderId="0"/>
    <xf numFmtId="0" fontId="5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9" fontId="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7" fontId="10" fillId="0" borderId="0" applyFont="0" applyFill="0" applyBorder="0" applyAlignment="0" applyProtection="0"/>
    <xf numFmtId="167" fontId="10" fillId="0" borderId="0" applyFont="0" applyFill="0" applyBorder="0" applyAlignment="0" applyProtection="0"/>
    <xf numFmtId="167" fontId="10" fillId="0" borderId="0" applyFont="0" applyFill="0" applyBorder="0" applyAlignment="0" applyProtection="0"/>
    <xf numFmtId="167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</cellStyleXfs>
  <cellXfs count="114">
    <xf numFmtId="0" fontId="0" fillId="0" borderId="0" xfId="0"/>
    <xf numFmtId="0" fontId="0" fillId="0" borderId="0" xfId="0" applyAlignment="1">
      <alignment horizontal="left"/>
    </xf>
    <xf numFmtId="10" fontId="18" fillId="0" borderId="0" xfId="49" applyNumberFormat="1" applyFont="1" applyFill="1"/>
    <xf numFmtId="10" fontId="11" fillId="3" borderId="4" xfId="41" applyNumberFormat="1" applyFont="1" applyFill="1" applyBorder="1" applyAlignment="1" applyProtection="1">
      <alignment horizontal="center" vertical="center"/>
      <protection hidden="1"/>
    </xf>
    <xf numFmtId="10" fontId="11" fillId="3" borderId="4" xfId="50" applyNumberFormat="1" applyFont="1" applyFill="1" applyBorder="1" applyAlignment="1" applyProtection="1">
      <alignment horizontal="center" vertical="center"/>
      <protection hidden="1"/>
    </xf>
    <xf numFmtId="168" fontId="11" fillId="3" borderId="4" xfId="41" applyNumberFormat="1" applyFont="1" applyFill="1" applyBorder="1" applyAlignment="1" applyProtection="1">
      <alignment vertical="top" wrapText="1"/>
      <protection hidden="1"/>
    </xf>
    <xf numFmtId="0" fontId="11" fillId="3" borderId="4" xfId="41" applyNumberFormat="1" applyFont="1" applyFill="1" applyBorder="1" applyAlignment="1" applyProtection="1">
      <alignment horizontal="center"/>
      <protection hidden="1"/>
    </xf>
    <xf numFmtId="0" fontId="20" fillId="0" borderId="0" xfId="47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3" borderId="4" xfId="41" applyFont="1" applyFill="1" applyBorder="1" applyAlignment="1" applyProtection="1">
      <alignment horizontal="center" vertical="center"/>
      <protection hidden="1"/>
    </xf>
    <xf numFmtId="0" fontId="20" fillId="0" borderId="0" xfId="47" applyFont="1" applyBorder="1" applyAlignment="1">
      <alignment horizontal="center" vertical="center" wrapText="1"/>
    </xf>
    <xf numFmtId="2" fontId="11" fillId="0" borderId="0" xfId="0" applyNumberFormat="1" applyFont="1" applyBorder="1" applyAlignment="1">
      <alignment horizontal="center" vertical="center"/>
    </xf>
    <xf numFmtId="2" fontId="20" fillId="0" borderId="0" xfId="47" applyNumberFormat="1" applyFont="1" applyBorder="1" applyAlignment="1">
      <alignment horizontal="center" vertical="center"/>
    </xf>
    <xf numFmtId="10" fontId="11" fillId="3" borderId="4" xfId="49" applyNumberFormat="1" applyFont="1" applyFill="1" applyBorder="1" applyAlignment="1" applyProtection="1">
      <alignment horizontal="center"/>
      <protection hidden="1"/>
    </xf>
    <xf numFmtId="0" fontId="13" fillId="0" borderId="0" xfId="15" applyFont="1" applyFill="1" applyBorder="1" applyAlignment="1" applyProtection="1">
      <alignment horizontal="center"/>
      <protection hidden="1"/>
    </xf>
    <xf numFmtId="0" fontId="0" fillId="0" borderId="0" xfId="0" applyProtection="1">
      <protection hidden="1"/>
    </xf>
    <xf numFmtId="0" fontId="13" fillId="0" borderId="0" xfId="14" applyFont="1" applyBorder="1" applyAlignment="1" applyProtection="1">
      <alignment horizontal="center" wrapText="1"/>
      <protection hidden="1"/>
    </xf>
    <xf numFmtId="0" fontId="23" fillId="0" borderId="0" xfId="15" applyFont="1" applyFill="1" applyBorder="1" applyProtection="1">
      <protection hidden="1"/>
    </xf>
    <xf numFmtId="0" fontId="0" fillId="8" borderId="0" xfId="0" applyFill="1" applyProtection="1">
      <protection hidden="1"/>
    </xf>
    <xf numFmtId="0" fontId="19" fillId="8" borderId="0" xfId="0" applyFont="1" applyFill="1" applyProtection="1">
      <protection hidden="1"/>
    </xf>
    <xf numFmtId="0" fontId="0" fillId="8" borderId="0" xfId="0" applyFill="1"/>
    <xf numFmtId="0" fontId="12" fillId="8" borderId="0" xfId="41" applyFont="1" applyFill="1" applyBorder="1" applyAlignment="1" applyProtection="1">
      <alignment vertical="center"/>
      <protection hidden="1"/>
    </xf>
    <xf numFmtId="14" fontId="14" fillId="8" borderId="0" xfId="14" applyNumberFormat="1" applyFont="1" applyFill="1" applyBorder="1" applyProtection="1">
      <protection hidden="1"/>
    </xf>
    <xf numFmtId="0" fontId="11" fillId="8" borderId="0" xfId="41" applyFont="1" applyFill="1" applyProtection="1">
      <protection hidden="1"/>
    </xf>
    <xf numFmtId="0" fontId="11" fillId="0" borderId="0" xfId="14" applyFont="1" applyFill="1" applyBorder="1" applyProtection="1">
      <protection hidden="1"/>
    </xf>
    <xf numFmtId="14" fontId="11" fillId="0" borderId="0" xfId="14" applyNumberFormat="1" applyFont="1" applyFill="1" applyBorder="1" applyProtection="1">
      <protection hidden="1"/>
    </xf>
    <xf numFmtId="4" fontId="11" fillId="0" borderId="0" xfId="14" applyNumberFormat="1" applyFont="1" applyFill="1" applyBorder="1" applyProtection="1">
      <protection hidden="1"/>
    </xf>
    <xf numFmtId="0" fontId="11" fillId="3" borderId="10" xfId="41" applyFont="1" applyFill="1" applyBorder="1" applyAlignment="1" applyProtection="1">
      <alignment horizontal="right" vertical="center"/>
      <protection hidden="1"/>
    </xf>
    <xf numFmtId="0" fontId="11" fillId="3" borderId="1" xfId="14" applyFont="1" applyFill="1" applyBorder="1" applyAlignment="1" applyProtection="1">
      <alignment horizontal="center" vertical="center" wrapText="1"/>
      <protection hidden="1"/>
    </xf>
    <xf numFmtId="0" fontId="16" fillId="3" borderId="2" xfId="14" applyFont="1" applyFill="1" applyBorder="1" applyAlignment="1" applyProtection="1">
      <alignment horizontal="center" vertical="center" wrapText="1"/>
      <protection hidden="1"/>
    </xf>
    <xf numFmtId="0" fontId="16" fillId="3" borderId="1" xfId="14" applyFont="1" applyFill="1" applyBorder="1" applyAlignment="1" applyProtection="1">
      <alignment horizontal="center" vertical="center" wrapText="1"/>
      <protection hidden="1"/>
    </xf>
    <xf numFmtId="4" fontId="11" fillId="5" borderId="1" xfId="14" applyNumberFormat="1" applyFont="1" applyFill="1" applyBorder="1" applyProtection="1">
      <protection hidden="1"/>
    </xf>
    <xf numFmtId="14" fontId="11" fillId="5" borderId="1" xfId="14" applyNumberFormat="1" applyFont="1" applyFill="1" applyBorder="1" applyProtection="1">
      <protection hidden="1"/>
    </xf>
    <xf numFmtId="4" fontId="11" fillId="5" borderId="1" xfId="76" applyNumberFormat="1" applyFont="1" applyFill="1" applyBorder="1" applyProtection="1">
      <protection hidden="1"/>
    </xf>
    <xf numFmtId="2" fontId="0" fillId="8" borderId="0" xfId="0" applyNumberFormat="1" applyFill="1" applyProtection="1">
      <protection hidden="1"/>
    </xf>
    <xf numFmtId="168" fontId="17" fillId="3" borderId="10" xfId="41" applyNumberFormat="1" applyFont="1" applyFill="1" applyBorder="1" applyAlignment="1" applyProtection="1">
      <alignment horizontal="center" vertical="center"/>
      <protection hidden="1"/>
    </xf>
    <xf numFmtId="0" fontId="15" fillId="8" borderId="0" xfId="0" applyFont="1" applyFill="1" applyProtection="1">
      <protection hidden="1"/>
    </xf>
    <xf numFmtId="0" fontId="2" fillId="0" borderId="0" xfId="0" applyFont="1" applyAlignment="1" applyProtection="1">
      <alignment vertical="center"/>
      <protection hidden="1"/>
    </xf>
    <xf numFmtId="0" fontId="17" fillId="2" borderId="11" xfId="19" applyNumberFormat="1" applyFont="1" applyFill="1" applyBorder="1" applyAlignment="1">
      <alignment horizontal="center" vertical="center"/>
    </xf>
    <xf numFmtId="0" fontId="11" fillId="9" borderId="13" xfId="19" applyNumberFormat="1" applyFont="1" applyFill="1" applyBorder="1" applyAlignment="1">
      <alignment horizontal="center" vertical="center"/>
    </xf>
    <xf numFmtId="10" fontId="20" fillId="9" borderId="13" xfId="50" applyNumberFormat="1" applyFont="1" applyFill="1" applyBorder="1" applyAlignment="1">
      <alignment horizontal="center" vertical="center"/>
    </xf>
    <xf numFmtId="10" fontId="20" fillId="9" borderId="14" xfId="50" applyNumberFormat="1" applyFont="1" applyFill="1" applyBorder="1" applyAlignment="1">
      <alignment horizontal="center" vertical="center"/>
    </xf>
    <xf numFmtId="10" fontId="11" fillId="9" borderId="14" xfId="51" applyNumberFormat="1" applyFont="1" applyFill="1" applyBorder="1" applyAlignment="1">
      <alignment horizontal="center" vertical="center"/>
    </xf>
    <xf numFmtId="10" fontId="11" fillId="9" borderId="15" xfId="51" applyNumberFormat="1" applyFont="1" applyFill="1" applyBorder="1" applyAlignment="1">
      <alignment horizontal="center" vertical="center"/>
    </xf>
    <xf numFmtId="4" fontId="11" fillId="9" borderId="16" xfId="77" applyNumberFormat="1" applyFont="1" applyFill="1" applyBorder="1" applyAlignment="1">
      <alignment horizontal="center" vertical="center"/>
    </xf>
    <xf numFmtId="4" fontId="11" fillId="9" borderId="12" xfId="77" applyNumberFormat="1" applyFont="1" applyFill="1" applyBorder="1" applyAlignment="1">
      <alignment horizontal="center" vertical="center"/>
    </xf>
    <xf numFmtId="2" fontId="11" fillId="9" borderId="17" xfId="19" applyNumberFormat="1" applyFont="1" applyFill="1" applyBorder="1" applyAlignment="1">
      <alignment horizontal="center" vertical="center"/>
    </xf>
    <xf numFmtId="0" fontId="20" fillId="9" borderId="16" xfId="47" applyFont="1" applyFill="1" applyBorder="1" applyAlignment="1">
      <alignment horizontal="center" vertical="center"/>
    </xf>
    <xf numFmtId="0" fontId="20" fillId="9" borderId="12" xfId="47" applyFont="1" applyFill="1" applyBorder="1" applyAlignment="1">
      <alignment horizontal="center" vertical="center"/>
    </xf>
    <xf numFmtId="0" fontId="11" fillId="9" borderId="17" xfId="19" applyNumberFormat="1" applyFont="1" applyFill="1" applyBorder="1" applyAlignment="1">
      <alignment horizontal="right" vertical="center" indent="1"/>
    </xf>
    <xf numFmtId="10" fontId="22" fillId="9" borderId="12" xfId="19" applyNumberFormat="1" applyFont="1" applyFill="1" applyBorder="1" applyAlignment="1">
      <alignment horizontal="center" vertical="center"/>
    </xf>
    <xf numFmtId="0" fontId="20" fillId="9" borderId="13" xfId="47" applyFont="1" applyFill="1" applyBorder="1" applyAlignment="1">
      <alignment horizontal="center" vertical="center"/>
    </xf>
    <xf numFmtId="10" fontId="11" fillId="9" borderId="17" xfId="19" applyNumberFormat="1" applyFont="1" applyFill="1" applyBorder="1" applyAlignment="1">
      <alignment horizontal="center" vertical="center"/>
    </xf>
    <xf numFmtId="10" fontId="11" fillId="9" borderId="18" xfId="19" applyNumberFormat="1" applyFont="1" applyFill="1" applyBorder="1" applyAlignment="1">
      <alignment horizontal="center" vertical="center"/>
    </xf>
    <xf numFmtId="10" fontId="17" fillId="9" borderId="17" xfId="19" applyNumberFormat="1" applyFont="1" applyFill="1" applyBorder="1" applyAlignment="1">
      <alignment horizontal="center" vertical="center"/>
    </xf>
    <xf numFmtId="0" fontId="27" fillId="4" borderId="19" xfId="47" applyFont="1" applyFill="1" applyBorder="1" applyAlignment="1">
      <alignment horizontal="center" vertical="center"/>
    </xf>
    <xf numFmtId="49" fontId="17" fillId="2" borderId="20" xfId="19" applyNumberFormat="1" applyFont="1" applyFill="1" applyBorder="1" applyAlignment="1">
      <alignment horizontal="center" vertical="center" wrapText="1"/>
    </xf>
    <xf numFmtId="49" fontId="17" fillId="2" borderId="21" xfId="19" applyNumberFormat="1" applyFont="1" applyFill="1" applyBorder="1" applyAlignment="1">
      <alignment horizontal="center" vertical="center" wrapText="1"/>
    </xf>
    <xf numFmtId="0" fontId="17" fillId="2" borderId="22" xfId="19" applyFont="1" applyFill="1" applyBorder="1" applyAlignment="1">
      <alignment horizontal="center" vertical="center" wrapText="1"/>
    </xf>
    <xf numFmtId="49" fontId="17" fillId="2" borderId="23" xfId="19" applyNumberFormat="1" applyFont="1" applyFill="1" applyBorder="1" applyAlignment="1">
      <alignment horizontal="center" vertical="center" wrapText="1"/>
    </xf>
    <xf numFmtId="49" fontId="17" fillId="2" borderId="24" xfId="19" applyNumberFormat="1" applyFont="1" applyFill="1" applyBorder="1" applyAlignment="1">
      <alignment horizontal="center" vertical="center" wrapText="1"/>
    </xf>
    <xf numFmtId="49" fontId="17" fillId="2" borderId="25" xfId="19" applyNumberFormat="1" applyFont="1" applyFill="1" applyBorder="1" applyAlignment="1">
      <alignment horizontal="center" vertical="center" wrapText="1"/>
    </xf>
    <xf numFmtId="2" fontId="17" fillId="2" borderId="26" xfId="19" applyNumberFormat="1" applyFont="1" applyFill="1" applyBorder="1" applyAlignment="1">
      <alignment horizontal="center" vertical="center" wrapText="1"/>
    </xf>
    <xf numFmtId="49" fontId="17" fillId="2" borderId="26" xfId="19" applyNumberFormat="1" applyFont="1" applyFill="1" applyBorder="1" applyAlignment="1">
      <alignment horizontal="center" vertical="center" wrapText="1"/>
    </xf>
    <xf numFmtId="0" fontId="21" fillId="6" borderId="21" xfId="19" applyFont="1" applyFill="1" applyBorder="1" applyAlignment="1">
      <alignment horizontal="center" vertical="center" wrapText="1"/>
    </xf>
    <xf numFmtId="0" fontId="17" fillId="2" borderId="22" xfId="47" applyFont="1" applyFill="1" applyBorder="1" applyAlignment="1">
      <alignment horizontal="center" vertical="center" wrapText="1"/>
    </xf>
    <xf numFmtId="0" fontId="17" fillId="2" borderId="21" xfId="47" applyFont="1" applyFill="1" applyBorder="1" applyAlignment="1">
      <alignment horizontal="center" vertical="center" wrapText="1"/>
    </xf>
    <xf numFmtId="0" fontId="17" fillId="2" borderId="26" xfId="19" applyFont="1" applyFill="1" applyBorder="1" applyAlignment="1">
      <alignment horizontal="center" vertical="center" wrapText="1"/>
    </xf>
    <xf numFmtId="0" fontId="17" fillId="2" borderId="25" xfId="19" applyFont="1" applyFill="1" applyBorder="1" applyAlignment="1">
      <alignment horizontal="center" vertical="center" wrapText="1"/>
    </xf>
    <xf numFmtId="0" fontId="17" fillId="2" borderId="21" xfId="19" applyFont="1" applyFill="1" applyBorder="1" applyAlignment="1">
      <alignment horizontal="center" vertical="center" wrapText="1"/>
    </xf>
    <xf numFmtId="0" fontId="17" fillId="2" borderId="27" xfId="19" applyFont="1" applyFill="1" applyBorder="1" applyAlignment="1">
      <alignment horizontal="center" vertical="center" wrapText="1"/>
    </xf>
    <xf numFmtId="0" fontId="17" fillId="2" borderId="28" xfId="19" applyFont="1" applyFill="1" applyBorder="1" applyAlignment="1">
      <alignment horizontal="center" vertical="center" wrapText="1"/>
    </xf>
    <xf numFmtId="4" fontId="28" fillId="10" borderId="0" xfId="47" applyNumberFormat="1" applyFont="1" applyFill="1" applyBorder="1" applyAlignment="1">
      <alignment horizontal="center" vertical="center" wrapText="1"/>
    </xf>
    <xf numFmtId="10" fontId="27" fillId="4" borderId="19" xfId="49" applyNumberFormat="1" applyFont="1" applyFill="1" applyBorder="1" applyAlignment="1">
      <alignment horizontal="center" vertical="center"/>
    </xf>
    <xf numFmtId="2" fontId="27" fillId="4" borderId="19" xfId="47" applyNumberFormat="1" applyFont="1" applyFill="1" applyBorder="1" applyAlignment="1">
      <alignment horizontal="center" vertical="center"/>
    </xf>
    <xf numFmtId="10" fontId="27" fillId="4" borderId="19" xfId="47" applyNumberFormat="1" applyFont="1" applyFill="1" applyBorder="1" applyAlignment="1">
      <alignment horizontal="center" vertical="center"/>
    </xf>
    <xf numFmtId="4" fontId="27" fillId="4" borderId="19" xfId="47" applyNumberFormat="1" applyFont="1" applyFill="1" applyBorder="1" applyAlignment="1">
      <alignment horizontal="center" vertical="center"/>
    </xf>
    <xf numFmtId="10" fontId="19" fillId="8" borderId="0" xfId="49" applyNumberFormat="1" applyFont="1" applyFill="1" applyProtection="1">
      <protection hidden="1"/>
    </xf>
    <xf numFmtId="2" fontId="0" fillId="0" borderId="0" xfId="0" applyNumberFormat="1"/>
    <xf numFmtId="0" fontId="17" fillId="9" borderId="12" xfId="19" applyNumberFormat="1" applyFont="1" applyFill="1" applyBorder="1" applyAlignment="1">
      <alignment horizontal="left" vertical="center" indent="1"/>
    </xf>
    <xf numFmtId="10" fontId="26" fillId="0" borderId="1" xfId="0" applyNumberFormat="1" applyFont="1" applyBorder="1" applyAlignment="1">
      <alignment horizontal="center" vertical="center"/>
    </xf>
    <xf numFmtId="10" fontId="26" fillId="0" borderId="1" xfId="0" applyNumberFormat="1" applyFont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/>
    </xf>
    <xf numFmtId="0" fontId="25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71" fontId="17" fillId="0" borderId="1" xfId="0" applyNumberFormat="1" applyFont="1" applyBorder="1"/>
    <xf numFmtId="0" fontId="1" fillId="0" borderId="0" xfId="0" quotePrefix="1" applyFont="1"/>
    <xf numFmtId="1" fontId="11" fillId="3" borderId="4" xfId="41" applyNumberFormat="1" applyFont="1" applyFill="1" applyBorder="1" applyAlignment="1" applyProtection="1">
      <alignment horizontal="center" vertical="center"/>
      <protection hidden="1"/>
    </xf>
    <xf numFmtId="0" fontId="29" fillId="11" borderId="0" xfId="14" applyFont="1" applyFill="1" applyProtection="1">
      <protection hidden="1"/>
    </xf>
    <xf numFmtId="10" fontId="17" fillId="0" borderId="1" xfId="49" applyNumberFormat="1" applyFont="1" applyBorder="1"/>
    <xf numFmtId="10" fontId="0" fillId="0" borderId="0" xfId="49" applyNumberFormat="1" applyFont="1"/>
    <xf numFmtId="1" fontId="11" fillId="0" borderId="4" xfId="41" applyNumberFormat="1" applyFont="1" applyFill="1" applyBorder="1" applyAlignment="1" applyProtection="1">
      <alignment horizontal="center" vertical="center"/>
      <protection locked="0" hidden="1"/>
    </xf>
    <xf numFmtId="168" fontId="11" fillId="0" borderId="4" xfId="41" applyNumberFormat="1" applyFont="1" applyFill="1" applyBorder="1" applyAlignment="1" applyProtection="1">
      <alignment horizontal="center" wrapText="1"/>
      <protection locked="0" hidden="1"/>
    </xf>
    <xf numFmtId="10" fontId="19" fillId="0" borderId="0" xfId="49" applyNumberFormat="1" applyFont="1" applyFill="1" applyProtection="1">
      <protection hidden="1"/>
    </xf>
    <xf numFmtId="0" fontId="0" fillId="0" borderId="0" xfId="0" applyFill="1"/>
    <xf numFmtId="0" fontId="15" fillId="0" borderId="0" xfId="0" applyFont="1" applyFill="1" applyProtection="1">
      <protection hidden="1"/>
    </xf>
    <xf numFmtId="0" fontId="19" fillId="0" borderId="0" xfId="0" applyFont="1" applyFill="1" applyProtection="1">
      <protection hidden="1"/>
    </xf>
    <xf numFmtId="0" fontId="13" fillId="0" borderId="0" xfId="14" applyFont="1" applyFill="1"/>
    <xf numFmtId="0" fontId="0" fillId="0" borderId="0" xfId="0" applyFill="1" applyProtection="1">
      <protection hidden="1"/>
    </xf>
    <xf numFmtId="0" fontId="13" fillId="0" borderId="0" xfId="14" applyFont="1" applyFill="1" applyProtection="1">
      <protection hidden="1"/>
    </xf>
    <xf numFmtId="0" fontId="11" fillId="3" borderId="7" xfId="41" applyFont="1" applyFill="1" applyBorder="1" applyAlignment="1" applyProtection="1">
      <alignment horizontal="left" vertical="center" indent="1"/>
      <protection hidden="1"/>
    </xf>
    <xf numFmtId="0" fontId="11" fillId="3" borderId="6" xfId="41" applyFont="1" applyFill="1" applyBorder="1" applyAlignment="1" applyProtection="1">
      <alignment horizontal="left" vertical="center" indent="1"/>
      <protection hidden="1"/>
    </xf>
    <xf numFmtId="2" fontId="17" fillId="0" borderId="5" xfId="41" applyNumberFormat="1" applyFont="1" applyFill="1" applyBorder="1" applyAlignment="1" applyProtection="1">
      <alignment horizontal="center" vertical="center"/>
      <protection locked="0" hidden="1"/>
    </xf>
    <xf numFmtId="0" fontId="17" fillId="3" borderId="8" xfId="41" applyFont="1" applyFill="1" applyBorder="1" applyAlignment="1" applyProtection="1">
      <alignment horizontal="left" vertical="center" indent="1"/>
      <protection hidden="1"/>
    </xf>
    <xf numFmtId="0" fontId="17" fillId="3" borderId="9" xfId="41" applyFont="1" applyFill="1" applyBorder="1" applyAlignment="1" applyProtection="1">
      <alignment horizontal="left" vertical="center" indent="1"/>
      <protection hidden="1"/>
    </xf>
    <xf numFmtId="0" fontId="24" fillId="2" borderId="0" xfId="41" applyFont="1" applyFill="1" applyBorder="1" applyAlignment="1" applyProtection="1">
      <alignment horizontal="center" vertical="center" wrapText="1"/>
      <protection hidden="1"/>
    </xf>
    <xf numFmtId="0" fontId="25" fillId="7" borderId="2" xfId="0" applyFont="1" applyFill="1" applyBorder="1" applyAlignment="1">
      <alignment horizontal="center" vertical="center" wrapText="1"/>
    </xf>
    <xf numFmtId="0" fontId="25" fillId="7" borderId="3" xfId="0" applyFont="1" applyFill="1" applyBorder="1" applyAlignment="1">
      <alignment horizontal="center" vertical="center" wrapText="1"/>
    </xf>
    <xf numFmtId="0" fontId="4" fillId="3" borderId="7" xfId="41" applyFont="1" applyFill="1" applyBorder="1" applyAlignment="1" applyProtection="1">
      <alignment horizontal="center" vertical="center"/>
      <protection hidden="1"/>
    </xf>
    <xf numFmtId="0" fontId="4" fillId="3" borderId="6" xfId="41" applyFont="1" applyFill="1" applyBorder="1" applyAlignment="1" applyProtection="1">
      <alignment horizontal="center" vertical="center"/>
      <protection hidden="1"/>
    </xf>
    <xf numFmtId="0" fontId="17" fillId="3" borderId="7" xfId="41" applyFont="1" applyFill="1" applyBorder="1" applyAlignment="1" applyProtection="1">
      <alignment horizontal="left" vertical="center" indent="1"/>
      <protection hidden="1"/>
    </xf>
    <xf numFmtId="0" fontId="17" fillId="3" borderId="6" xfId="41" applyFont="1" applyFill="1" applyBorder="1" applyAlignment="1" applyProtection="1">
      <alignment horizontal="left" vertical="center" indent="1"/>
      <protection hidden="1"/>
    </xf>
    <xf numFmtId="0" fontId="25" fillId="7" borderId="1" xfId="0" applyFont="1" applyFill="1" applyBorder="1" applyAlignment="1">
      <alignment horizontal="center" vertical="center" wrapText="1"/>
    </xf>
    <xf numFmtId="0" fontId="9" fillId="3" borderId="0" xfId="41" applyFont="1" applyFill="1" applyBorder="1" applyAlignment="1" applyProtection="1">
      <alignment horizontal="center" vertical="center"/>
      <protection hidden="1"/>
    </xf>
  </cellXfs>
  <cellStyles count="104">
    <cellStyle name="Comma 2" xfId="1"/>
    <cellStyle name="Comma 2 2" xfId="2"/>
    <cellStyle name="Normal 2" xfId="3"/>
    <cellStyle name="Normal 2 2" xfId="4"/>
    <cellStyle name="Percent 2" xfId="5"/>
    <cellStyle name="Percent 2 2" xfId="6"/>
    <cellStyle name="Відсотковий" xfId="49" builtinId="5"/>
    <cellStyle name="Денежный 2" xfId="7"/>
    <cellStyle name="Денежный 2 2" xfId="8"/>
    <cellStyle name="Денежный 2 2 2" xfId="9"/>
    <cellStyle name="Денежный 2 3" xfId="10"/>
    <cellStyle name="Звичайний" xfId="0" builtinId="0"/>
    <cellStyle name="Обычный 17" xfId="11"/>
    <cellStyle name="Обычный 17 2" xfId="12"/>
    <cellStyle name="Обычный 2" xfId="13"/>
    <cellStyle name="Обычный 2 2" xfId="14"/>
    <cellStyle name="Обычный 2 2 2" xfId="15"/>
    <cellStyle name="Обычный 3" xfId="16"/>
    <cellStyle name="Обычный 3 2" xfId="17"/>
    <cellStyle name="Обычный 4" xfId="18"/>
    <cellStyle name="Обычный 4 2" xfId="19"/>
    <cellStyle name="Обычный 4 3" xfId="20"/>
    <cellStyle name="Обычный 4 3 2" xfId="21"/>
    <cellStyle name="Обычный 4 3 2 2" xfId="22"/>
    <cellStyle name="Обычный 4 3 3" xfId="23"/>
    <cellStyle name="Обычный 4 3 3 2" xfId="24"/>
    <cellStyle name="Обычный 4 3 4" xfId="25"/>
    <cellStyle name="Обычный 4 3 4 2" xfId="26"/>
    <cellStyle name="Обычный 4 3 5" xfId="27"/>
    <cellStyle name="Обычный 4 3 5 2" xfId="28"/>
    <cellStyle name="Обычный 4 3 6" xfId="29"/>
    <cellStyle name="Обычный 4 4" xfId="30"/>
    <cellStyle name="Обычный 4 4 2" xfId="31"/>
    <cellStyle name="Обычный 4 5" xfId="32"/>
    <cellStyle name="Обычный 4 5 2" xfId="33"/>
    <cellStyle name="Обычный 4 6" xfId="34"/>
    <cellStyle name="Обычный 4 6 2" xfId="35"/>
    <cellStyle name="Обычный 4 7" xfId="36"/>
    <cellStyle name="Обычный 4 7 2" xfId="37"/>
    <cellStyle name="Обычный 4 8" xfId="38"/>
    <cellStyle name="Обычный 5" xfId="39"/>
    <cellStyle name="Обычный 5 2" xfId="40"/>
    <cellStyle name="Обычный 6" xfId="41"/>
    <cellStyle name="Обычный 7" xfId="42"/>
    <cellStyle name="Обычный 8" xfId="43"/>
    <cellStyle name="Обычный 8 2" xfId="44"/>
    <cellStyle name="Обычный 8 2 2" xfId="45"/>
    <cellStyle name="Обычный 8 3" xfId="46"/>
    <cellStyle name="Обычный 9" xfId="47"/>
    <cellStyle name="Обычный 9 2" xfId="48"/>
    <cellStyle name="Процентный 2" xfId="50"/>
    <cellStyle name="Процентный 2 2" xfId="51"/>
    <cellStyle name="Процентный 3" xfId="52"/>
    <cellStyle name="Процентный 3 2" xfId="53"/>
    <cellStyle name="Процентный 3 2 2" xfId="54"/>
    <cellStyle name="Процентный 3 2 2 2" xfId="55"/>
    <cellStyle name="Процентный 3 2 3" xfId="56"/>
    <cellStyle name="Процентный 3 2 3 2" xfId="57"/>
    <cellStyle name="Процентный 3 2 4" xfId="58"/>
    <cellStyle name="Процентный 3 2 4 2" xfId="59"/>
    <cellStyle name="Процентный 3 2 5" xfId="60"/>
    <cellStyle name="Процентный 3 2 5 2" xfId="61"/>
    <cellStyle name="Процентный 3 2 6" xfId="62"/>
    <cellStyle name="Процентный 3 3" xfId="63"/>
    <cellStyle name="Процентный 3 3 2" xfId="64"/>
    <cellStyle name="Процентный 3 4" xfId="65"/>
    <cellStyle name="Процентный 3 4 2" xfId="66"/>
    <cellStyle name="Процентный 3 5" xfId="67"/>
    <cellStyle name="Процентный 3 5 2" xfId="68"/>
    <cellStyle name="Процентный 3 6" xfId="69"/>
    <cellStyle name="Процентный 3 6 2" xfId="70"/>
    <cellStyle name="Процентный 3 7" xfId="71"/>
    <cellStyle name="Процентный 4" xfId="72"/>
    <cellStyle name="Процентный 4 2" xfId="73"/>
    <cellStyle name="Процентный 4 2 2" xfId="74"/>
    <cellStyle name="Процентный 4 3" xfId="75"/>
    <cellStyle name="Финансовый 2" xfId="76"/>
    <cellStyle name="Финансовый 2 2" xfId="77"/>
    <cellStyle name="Финансовый 3" xfId="78"/>
    <cellStyle name="Финансовый 3 2" xfId="79"/>
    <cellStyle name="Финансовый 3 2 2" xfId="80"/>
    <cellStyle name="Финансовый 3 2 2 2" xfId="81"/>
    <cellStyle name="Финансовый 3 2 3" xfId="82"/>
    <cellStyle name="Финансовый 3 2 3 2" xfId="83"/>
    <cellStyle name="Финансовый 3 2 4" xfId="84"/>
    <cellStyle name="Финансовый 3 2 4 2" xfId="85"/>
    <cellStyle name="Финансовый 3 2 5" xfId="86"/>
    <cellStyle name="Финансовый 3 2 5 2" xfId="87"/>
    <cellStyle name="Финансовый 3 2 6" xfId="88"/>
    <cellStyle name="Финансовый 3 3" xfId="89"/>
    <cellStyle name="Финансовый 3 3 2" xfId="90"/>
    <cellStyle name="Финансовый 3 4" xfId="91"/>
    <cellStyle name="Финансовый 3 4 2" xfId="92"/>
    <cellStyle name="Финансовый 3 5" xfId="93"/>
    <cellStyle name="Финансовый 3 5 2" xfId="94"/>
    <cellStyle name="Финансовый 3 6" xfId="95"/>
    <cellStyle name="Финансовый 3 6 2" xfId="96"/>
    <cellStyle name="Финансовый 3 7" xfId="97"/>
    <cellStyle name="Финансовый 4" xfId="98"/>
    <cellStyle name="Финансовый 4 2" xfId="99"/>
    <cellStyle name="Финансовый 4 2 2" xfId="100"/>
    <cellStyle name="Финансовый 4 3" xfId="101"/>
    <cellStyle name="Финансовый 8" xfId="102"/>
    <cellStyle name="Финансовый 8 2" xfId="103"/>
  </cellStyles>
  <dxfs count="9">
    <dxf>
      <font>
        <color theme="0"/>
      </font>
      <fill>
        <patternFill>
          <bgColor rgb="FFFF0000"/>
        </patternFill>
      </fill>
    </dxf>
    <dxf>
      <fill>
        <gradientFill degree="180">
          <stop position="0">
            <color theme="0"/>
          </stop>
          <stop position="1">
            <color theme="6" tint="0.80001220740379042"/>
          </stop>
        </gradient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gradientFill degree="180">
          <stop position="0">
            <color theme="0"/>
          </stop>
          <stop position="1">
            <color theme="6" tint="0.80001220740379042"/>
          </stop>
        </gradient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gradientFill degree="180">
          <stop position="0">
            <color theme="0"/>
          </stop>
          <stop position="1">
            <color theme="6" tint="0.80001220740379042"/>
          </stop>
        </gradient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gradientFill degree="180">
          <stop position="0">
            <color theme="0"/>
          </stop>
          <stop position="1">
            <color theme="6" tint="0.80001220740379042"/>
          </stop>
        </gradient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gradientFill degree="180">
          <stop position="0">
            <color theme="0"/>
          </stop>
          <stop position="1">
            <color theme="6" tint="0.80001220740379042"/>
          </stop>
        </gradient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gradientFill degree="180">
          <stop position="0">
            <color theme="0"/>
          </stop>
          <stop position="1">
            <color theme="6" tint="0.80001220740379042"/>
          </stop>
        </gradient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gradientFill degree="180">
          <stop position="0">
            <color theme="0"/>
          </stop>
          <stop position="1">
            <color theme="6" tint="0.80001220740379042"/>
          </stop>
        </gradient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gradientFill degree="180">
          <stop position="0">
            <color theme="0"/>
          </stop>
          <stop position="1">
            <color theme="6" tint="0.80001220740379042"/>
          </stop>
        </gradient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FFFF"/>
      <color rgb="FF33CC33"/>
      <color rgb="FFFD370F"/>
      <color rgb="FFD8391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34168</xdr:colOff>
      <xdr:row>0</xdr:row>
      <xdr:rowOff>132790</xdr:rowOff>
    </xdr:from>
    <xdr:to>
      <xdr:col>4</xdr:col>
      <xdr:colOff>616955</xdr:colOff>
      <xdr:row>2</xdr:row>
      <xdr:rowOff>110939</xdr:rowOff>
    </xdr:to>
    <xdr:pic>
      <xdr:nvPicPr>
        <xdr:cNvPr id="2074" name="Рисунок 10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7543" y="132790"/>
          <a:ext cx="1880908" cy="3877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tabColor rgb="FF92D050"/>
    <pageSetUpPr fitToPage="1"/>
  </sheetPr>
  <dimension ref="A1:W101"/>
  <sheetViews>
    <sheetView showGridLines="0" tabSelected="1" view="pageBreakPreview" zoomScaleNormal="98" zoomScaleSheetLayoutView="100" workbookViewId="0">
      <selection activeCell="F7" sqref="F7:G7"/>
    </sheetView>
  </sheetViews>
  <sheetFormatPr defaultRowHeight="13.2"/>
  <cols>
    <col min="1" max="1" width="6.109375" bestFit="1" customWidth="1"/>
    <col min="2" max="2" width="3" style="20" bestFit="1" customWidth="1"/>
    <col min="3" max="3" width="3" customWidth="1"/>
    <col min="4" max="4" width="16.44140625" customWidth="1"/>
    <col min="5" max="5" width="17.109375" customWidth="1"/>
    <col min="6" max="6" width="15.33203125" style="1" customWidth="1"/>
    <col min="7" max="7" width="15.88671875" customWidth="1"/>
    <col min="8" max="8" width="13" customWidth="1"/>
    <col min="9" max="9" width="5.109375" customWidth="1"/>
    <col min="10" max="10" width="7.5546875" style="20" customWidth="1"/>
    <col min="11" max="11" width="6.6640625" customWidth="1"/>
    <col min="12" max="12" width="28.5546875" customWidth="1"/>
    <col min="13" max="13" width="17.5546875" customWidth="1"/>
    <col min="14" max="14" width="17.33203125" customWidth="1"/>
    <col min="15" max="15" width="22.21875" customWidth="1"/>
    <col min="16" max="17" width="19.109375" customWidth="1"/>
    <col min="18" max="18" width="19.6640625" bestFit="1" customWidth="1"/>
    <col min="19" max="19" width="15.109375" customWidth="1"/>
    <col min="20" max="21" width="9.109375" hidden="1" customWidth="1"/>
    <col min="22" max="23" width="8.88671875" hidden="1" customWidth="1"/>
    <col min="24" max="24" width="8.88671875" customWidth="1"/>
  </cols>
  <sheetData>
    <row r="1" spans="1:20" ht="16.95" customHeight="1">
      <c r="B1" s="18"/>
      <c r="C1" s="18"/>
      <c r="D1" s="23"/>
      <c r="E1" s="23"/>
      <c r="F1" s="105" t="s">
        <v>50</v>
      </c>
      <c r="G1" s="105"/>
      <c r="H1" s="105"/>
      <c r="J1" s="21"/>
      <c r="L1" s="14"/>
      <c r="M1" s="2"/>
    </row>
    <row r="2" spans="1:20" ht="15.75" customHeight="1">
      <c r="B2" s="18"/>
      <c r="C2" s="18"/>
      <c r="D2" s="21"/>
      <c r="E2" s="21"/>
      <c r="F2" s="105"/>
      <c r="G2" s="105"/>
      <c r="H2" s="105"/>
      <c r="J2" s="21"/>
      <c r="L2" s="15"/>
    </row>
    <row r="3" spans="1:20" ht="18.75" customHeight="1">
      <c r="B3" s="18"/>
      <c r="C3" s="18"/>
      <c r="D3" s="21"/>
      <c r="E3" s="21"/>
      <c r="F3" s="105"/>
      <c r="G3" s="105"/>
      <c r="H3" s="105"/>
      <c r="J3" s="21"/>
      <c r="L3" s="37" t="s">
        <v>16</v>
      </c>
    </row>
    <row r="4" spans="1:20" ht="6" customHeight="1">
      <c r="B4" s="18"/>
      <c r="C4" s="18"/>
      <c r="D4" s="21"/>
      <c r="E4" s="21"/>
      <c r="F4" s="21"/>
      <c r="G4" s="21"/>
      <c r="H4" s="21"/>
      <c r="I4" s="21"/>
      <c r="J4" s="21"/>
      <c r="L4" s="15"/>
    </row>
    <row r="5" spans="1:20" ht="13.95" customHeight="1">
      <c r="B5" s="18"/>
      <c r="C5" s="113" t="s">
        <v>4</v>
      </c>
      <c r="D5" s="113"/>
      <c r="E5" s="113"/>
      <c r="F5" s="113"/>
      <c r="G5" s="113"/>
      <c r="H5" s="22">
        <f ca="1">IF(TODAY()&gt;DATE(YEAR(TODAY()),MONTH(TODAY()),DAY(TODAY())),DATE(YEAR(TODAY()),MONTH(TODAY()),DAY(10)),TODAY())</f>
        <v>45680</v>
      </c>
      <c r="J5" s="18"/>
      <c r="L5" s="112" t="s">
        <v>13</v>
      </c>
      <c r="M5" s="112" t="s">
        <v>51</v>
      </c>
      <c r="N5" s="112" t="s">
        <v>45</v>
      </c>
      <c r="O5" s="106" t="s">
        <v>52</v>
      </c>
      <c r="P5" s="106" t="s">
        <v>46</v>
      </c>
      <c r="Q5" s="106" t="s">
        <v>15</v>
      </c>
      <c r="R5" s="106" t="s">
        <v>6</v>
      </c>
    </row>
    <row r="6" spans="1:20" ht="13.95" customHeight="1">
      <c r="B6" s="18"/>
      <c r="C6" s="113"/>
      <c r="D6" s="113"/>
      <c r="E6" s="113"/>
      <c r="F6" s="113"/>
      <c r="G6" s="113"/>
      <c r="H6" s="18"/>
      <c r="I6" s="18"/>
      <c r="J6" s="18"/>
      <c r="L6" s="112"/>
      <c r="M6" s="112"/>
      <c r="N6" s="112"/>
      <c r="O6" s="107"/>
      <c r="P6" s="107"/>
      <c r="Q6" s="107"/>
      <c r="R6" s="107"/>
    </row>
    <row r="7" spans="1:20" ht="13.5" customHeight="1">
      <c r="B7" s="19"/>
      <c r="C7" s="108" t="s">
        <v>1</v>
      </c>
      <c r="D7" s="108"/>
      <c r="E7" s="109"/>
      <c r="F7" s="102" t="s">
        <v>49</v>
      </c>
      <c r="G7" s="102"/>
      <c r="H7" s="18"/>
      <c r="I7" s="18"/>
      <c r="J7" s="18"/>
      <c r="L7" s="83" t="s">
        <v>49</v>
      </c>
      <c r="M7" s="82" t="s">
        <v>55</v>
      </c>
      <c r="N7" s="81" t="s">
        <v>41</v>
      </c>
      <c r="O7" s="80">
        <v>0.34799999999999998</v>
      </c>
      <c r="P7" s="81">
        <v>1E-4</v>
      </c>
      <c r="Q7" s="80" t="s">
        <v>14</v>
      </c>
      <c r="R7" s="84" t="s">
        <v>14</v>
      </c>
    </row>
    <row r="8" spans="1:20" ht="15" customHeight="1">
      <c r="B8" s="36"/>
      <c r="C8" s="110" t="s">
        <v>47</v>
      </c>
      <c r="D8" s="110"/>
      <c r="E8" s="111"/>
      <c r="F8" s="92">
        <v>200000</v>
      </c>
      <c r="G8" s="9" t="str">
        <f>TEXT(10000,"# ##0")&amp;" - "&amp;TEXT(200000,"# ##0")</f>
        <v>10 000 - 200 000</v>
      </c>
      <c r="H8" s="18"/>
      <c r="I8" s="18"/>
      <c r="J8" s="18"/>
    </row>
    <row r="9" spans="1:20" ht="13.8">
      <c r="A9" s="94"/>
      <c r="B9" s="96">
        <f>VLOOKUP(F7,Продукти!B:F,2,0)</f>
        <v>1</v>
      </c>
      <c r="C9" s="100" t="s">
        <v>5</v>
      </c>
      <c r="D9" s="100"/>
      <c r="E9" s="101"/>
      <c r="F9" s="91">
        <v>36</v>
      </c>
      <c r="G9" s="6" t="str">
        <f>TEXT(24,"# ##0")&amp;" - "&amp;TEXT(60,"# ##0")</f>
        <v>24 - 60</v>
      </c>
      <c r="H9" s="86"/>
      <c r="J9" s="18"/>
      <c r="L9" s="83" t="s">
        <v>43</v>
      </c>
      <c r="M9" s="85">
        <f ca="1">E18</f>
        <v>8770.32</v>
      </c>
    </row>
    <row r="10" spans="1:20" ht="13.5" customHeight="1">
      <c r="A10" s="94"/>
      <c r="B10" s="96"/>
      <c r="C10" s="100" t="s">
        <v>53</v>
      </c>
      <c r="D10" s="100"/>
      <c r="E10" s="101"/>
      <c r="F10" s="87">
        <v>1</v>
      </c>
      <c r="G10" s="6"/>
      <c r="J10" s="18"/>
      <c r="L10" s="83" t="s">
        <v>44</v>
      </c>
      <c r="M10" s="85">
        <f ca="1">G17+G14+G13*Срок_кредиту</f>
        <v>115726.65784365431</v>
      </c>
    </row>
    <row r="11" spans="1:20" ht="12" customHeight="1">
      <c r="A11" s="94"/>
      <c r="B11" s="95"/>
      <c r="C11" s="100" t="s">
        <v>46</v>
      </c>
      <c r="D11" s="100"/>
      <c r="E11" s="101"/>
      <c r="F11" s="3">
        <v>1E-4</v>
      </c>
      <c r="G11" s="13"/>
      <c r="H11" s="18"/>
      <c r="I11" s="18"/>
      <c r="J11" s="18"/>
      <c r="L11" s="83" t="s">
        <v>40</v>
      </c>
      <c r="M11" s="85">
        <f ca="1">F8+M10</f>
        <v>315726.65784365428</v>
      </c>
    </row>
    <row r="12" spans="1:20" ht="14.25" customHeight="1">
      <c r="A12" s="94"/>
      <c r="B12" s="95"/>
      <c r="C12" s="100" t="s">
        <v>54</v>
      </c>
      <c r="D12" s="100"/>
      <c r="E12" s="101"/>
      <c r="F12" s="3">
        <v>0.34799999999999998</v>
      </c>
      <c r="G12" s="13"/>
      <c r="H12" s="18"/>
      <c r="I12" s="18"/>
      <c r="J12" s="18"/>
      <c r="L12" s="83" t="s">
        <v>42</v>
      </c>
      <c r="M12" s="89">
        <f ca="1">XIRR($E$17:OFFSET($E$17,Срок_кредиту,0),$D$17:OFFSET($D$17,Срок_кредиту,0))</f>
        <v>0.37926951050758362</v>
      </c>
    </row>
    <row r="13" spans="1:20" ht="13.8">
      <c r="A13" s="94"/>
      <c r="B13" s="95"/>
      <c r="C13" s="100" t="s">
        <v>6</v>
      </c>
      <c r="D13" s="100"/>
      <c r="E13" s="101"/>
      <c r="F13" s="4">
        <v>0</v>
      </c>
      <c r="G13" s="5">
        <f>F15*F13</f>
        <v>0</v>
      </c>
      <c r="H13" s="18"/>
      <c r="I13" s="18"/>
      <c r="J13" s="18"/>
    </row>
    <row r="14" spans="1:20" ht="13.8">
      <c r="A14" s="97"/>
      <c r="B14" s="95"/>
      <c r="C14" s="100" t="s">
        <v>7</v>
      </c>
      <c r="D14" s="100"/>
      <c r="E14" s="101"/>
      <c r="F14" s="3">
        <v>0</v>
      </c>
      <c r="G14" s="5">
        <f>F8*F14</f>
        <v>0</v>
      </c>
      <c r="H14" s="34"/>
      <c r="I14" s="18"/>
      <c r="J14" s="18"/>
      <c r="K14" s="16"/>
    </row>
    <row r="15" spans="1:20" ht="13.8">
      <c r="A15" s="97"/>
      <c r="B15" s="98"/>
      <c r="C15" s="103" t="s">
        <v>48</v>
      </c>
      <c r="D15" s="103"/>
      <c r="E15" s="104"/>
      <c r="F15" s="35">
        <f>F8+G14</f>
        <v>200000</v>
      </c>
      <c r="G15" s="27" t="s">
        <v>3</v>
      </c>
      <c r="H15" s="18"/>
      <c r="I15" s="18"/>
      <c r="J15" s="18"/>
      <c r="K15" s="17"/>
    </row>
    <row r="16" spans="1:20" ht="30.6" customHeight="1">
      <c r="A16" s="99"/>
      <c r="B16" s="98"/>
      <c r="C16" s="28" t="s">
        <v>0</v>
      </c>
      <c r="D16" s="29" t="s">
        <v>8</v>
      </c>
      <c r="E16" s="30" t="s">
        <v>9</v>
      </c>
      <c r="F16" s="30" t="s">
        <v>10</v>
      </c>
      <c r="G16" s="30" t="s">
        <v>11</v>
      </c>
      <c r="H16" s="30" t="s">
        <v>12</v>
      </c>
      <c r="J16" s="77"/>
      <c r="T16" s="24">
        <f t="shared" ref="T16:T47" si="0">IF($B18&lt;=$F$9,B18,"")</f>
        <v>1</v>
      </c>
    </row>
    <row r="17" spans="1:23" ht="13.8">
      <c r="A17" s="99"/>
      <c r="B17" s="98"/>
      <c r="C17" s="31"/>
      <c r="D17" s="32">
        <f ca="1">H5</f>
        <v>45680</v>
      </c>
      <c r="E17" s="31">
        <f>(-F15)+(F8*F14)</f>
        <v>-200000</v>
      </c>
      <c r="F17" s="31">
        <f ca="1">SUM(F18:F101)</f>
        <v>199999.99999999991</v>
      </c>
      <c r="G17" s="31">
        <f ca="1">SUM(G18:G101)</f>
        <v>115726.65784365431</v>
      </c>
      <c r="H17" s="33">
        <f>F15</f>
        <v>200000</v>
      </c>
      <c r="J17" s="77"/>
      <c r="T17" s="24">
        <f t="shared" si="0"/>
        <v>2</v>
      </c>
      <c r="U17" s="78">
        <f>IF(T17&gt;$F$9,"",1/(1+J19/12))</f>
        <v>0.97181729834791064</v>
      </c>
      <c r="V17" s="78">
        <f>IF($T17&gt;$F$9,"",PRODUCT($U$17:$U17))</f>
        <v>0.97181729834791064</v>
      </c>
      <c r="W17" s="78">
        <f ca="1">((1+J18*1/12)*Maxamount)/(SUM($V$17:OFFSET(V16,$F$9-1,0))+1)</f>
        <v>8770.3199885454014</v>
      </c>
    </row>
    <row r="18" spans="1:23" ht="13.8">
      <c r="A18" s="99">
        <f>IF(H17&gt;0.3,1,0)</f>
        <v>1</v>
      </c>
      <c r="B18" s="96">
        <v>1</v>
      </c>
      <c r="C18" s="24">
        <f>IF($B18&lt;=$F$9,B18,"")</f>
        <v>1</v>
      </c>
      <c r="D18" s="25">
        <f ca="1">IF($C18&lt;=$F$9,DATE(YEAR(H5),MONTH(H5)+1,DAY(H5)),"")</f>
        <v>45711</v>
      </c>
      <c r="E18" s="26">
        <f ca="1">IF($C18&lt;=$F$9,IF((H17+G18)&gt;(Калькулятор!$W$17),ROUNDUP((Калькулятор!$W$17)*A18,2),(H17+G18)),"")</f>
        <v>8770.32</v>
      </c>
      <c r="F18" s="26">
        <f ca="1">IF($C18&lt;=$F$9,E18-G18,"")</f>
        <v>8768.6533698630137</v>
      </c>
      <c r="G18" s="26">
        <f>IF($C18&lt;=$F$9,H17*J18/365*30.416,"")</f>
        <v>1.6666301369863012</v>
      </c>
      <c r="H18" s="26">
        <f ca="1">IF($C18&lt;=$F$9,H17+G18-E18,"")</f>
        <v>191231.34663013698</v>
      </c>
      <c r="J18" s="93">
        <f>IF(C18&lt;=$B$9,$F$11,$F$12)</f>
        <v>1E-4</v>
      </c>
      <c r="Q18" s="90"/>
      <c r="T18" s="24">
        <f t="shared" si="0"/>
        <v>3</v>
      </c>
      <c r="U18" s="78">
        <f t="shared" ref="U18:U81" si="1">IF(T18&gt;$F$9,"",1/(1+J20/12))</f>
        <v>0.97181729834791064</v>
      </c>
      <c r="V18" s="78">
        <f>IF($T18&gt;$F$9,"",PRODUCT($U$17:$U18))</f>
        <v>0.94442886136823201</v>
      </c>
      <c r="W18" s="78"/>
    </row>
    <row r="19" spans="1:23" ht="13.8">
      <c r="A19" s="99">
        <f t="shared" ref="A19:A77" ca="1" si="2">IF(H18&gt;0.3,1,0)</f>
        <v>1</v>
      </c>
      <c r="B19" s="96">
        <v>2</v>
      </c>
      <c r="C19" s="24">
        <f t="shared" ref="C19:C77" si="3">IF($B19&lt;=$F$9,B19,"")</f>
        <v>2</v>
      </c>
      <c r="D19" s="25">
        <f ca="1">IF($C19&lt;=$F$9,DATE(YEAR(D18),MONTH(D18)+1,DAY(D18)),"")</f>
        <v>45739</v>
      </c>
      <c r="E19" s="26">
        <f ca="1">IF($C19&lt;=$F$9,IF((H18+G19)&gt;(Калькулятор!$W$17),ROUNDUP((Калькулятор!$W$17)*A19,2),(H18+G19)),"")</f>
        <v>8770.32</v>
      </c>
      <c r="F19" s="26">
        <f t="shared" ref="F19:F77" ca="1" si="4">IF($C19&lt;=$F$9,E19-G19,"")</f>
        <v>3224.7324975134752</v>
      </c>
      <c r="G19" s="26">
        <f t="shared" ref="G19:G77" ca="1" si="5">IF($C19&lt;=$F$9,H18*J19/365*30.416,"")</f>
        <v>5545.5875024865245</v>
      </c>
      <c r="H19" s="26">
        <f t="shared" ref="H19:H76" ca="1" si="6">IF($C19&lt;=$F$9,H18+G19-E19,"")</f>
        <v>188006.61413262351</v>
      </c>
      <c r="J19" s="93">
        <f t="shared" ref="J19:J77" si="7">IF(C19&lt;=$B$9,$F$11,$F$12)</f>
        <v>0.34799999999999998</v>
      </c>
      <c r="T19" s="24">
        <f t="shared" si="0"/>
        <v>4</v>
      </c>
      <c r="U19" s="78">
        <f t="shared" si="1"/>
        <v>0.97181729834791064</v>
      </c>
      <c r="V19" s="78">
        <f>IF($T19&gt;$F$9,"",PRODUCT($U$17:$U19))</f>
        <v>0.91781230453666862</v>
      </c>
      <c r="W19" s="78"/>
    </row>
    <row r="20" spans="1:23" ht="13.8">
      <c r="A20" s="99">
        <f t="shared" ca="1" si="2"/>
        <v>1</v>
      </c>
      <c r="B20" s="96">
        <v>3</v>
      </c>
      <c r="C20" s="24">
        <f t="shared" si="3"/>
        <v>3</v>
      </c>
      <c r="D20" s="25">
        <f t="shared" ref="D20:D77" ca="1" si="8">IF($C20&lt;=$F$9,DATE(YEAR(D19),MONTH(D19)+1,DAY(D19)),"")</f>
        <v>45770</v>
      </c>
      <c r="E20" s="26">
        <f ca="1">IF($C20&lt;=$F$9,IF((H19+G20)&gt;(Калькулятор!$W$17),ROUNDUP((Калькулятор!$W$17)*A20,2),(H19+G20)),"")</f>
        <v>8770.32</v>
      </c>
      <c r="F20" s="26">
        <f t="shared" ca="1" si="4"/>
        <v>3318.2476902483804</v>
      </c>
      <c r="G20" s="26">
        <f t="shared" ca="1" si="5"/>
        <v>5452.0723097516193</v>
      </c>
      <c r="H20" s="26">
        <f t="shared" ca="1" si="6"/>
        <v>184688.36644237512</v>
      </c>
      <c r="J20" s="93">
        <f t="shared" si="7"/>
        <v>0.34799999999999998</v>
      </c>
      <c r="T20" s="24">
        <f t="shared" si="0"/>
        <v>5</v>
      </c>
      <c r="U20" s="78">
        <f t="shared" si="1"/>
        <v>0.97181729834791064</v>
      </c>
      <c r="V20" s="78">
        <f>IF($T20&gt;$F$9,"",PRODUCT($U$17:$U20))</f>
        <v>0.89194587418529514</v>
      </c>
      <c r="W20" s="78"/>
    </row>
    <row r="21" spans="1:23" ht="13.8">
      <c r="A21" s="99">
        <f t="shared" ca="1" si="2"/>
        <v>1</v>
      </c>
      <c r="B21" s="96">
        <v>4</v>
      </c>
      <c r="C21" s="24">
        <f t="shared" si="3"/>
        <v>4</v>
      </c>
      <c r="D21" s="25">
        <f t="shared" ca="1" si="8"/>
        <v>45800</v>
      </c>
      <c r="E21" s="26">
        <f ca="1">IF($C21&lt;=$F$9,IF((H20+G21)&gt;(Калькулятор!$W$17),ROUNDUP((Калькулятор!$W$17)*A21,2),(H20+G21)),"")</f>
        <v>8770.32</v>
      </c>
      <c r="F21" s="26">
        <f t="shared" ca="1" si="4"/>
        <v>3414.4747641328058</v>
      </c>
      <c r="G21" s="26">
        <f t="shared" ca="1" si="5"/>
        <v>5355.8452358671939</v>
      </c>
      <c r="H21" s="26">
        <f t="shared" ca="1" si="6"/>
        <v>181273.8916782423</v>
      </c>
      <c r="J21" s="93">
        <f t="shared" si="7"/>
        <v>0.34799999999999998</v>
      </c>
      <c r="T21" s="24">
        <f t="shared" si="0"/>
        <v>6</v>
      </c>
      <c r="U21" s="78">
        <f t="shared" si="1"/>
        <v>0.97181729834791064</v>
      </c>
      <c r="V21" s="78">
        <f>IF($T21&gt;$F$9,"",PRODUCT($U$17:$U21))</f>
        <v>0.86680842972331895</v>
      </c>
      <c r="W21" s="78"/>
    </row>
    <row r="22" spans="1:23" ht="13.8">
      <c r="A22" s="99">
        <f t="shared" ca="1" si="2"/>
        <v>1</v>
      </c>
      <c r="B22" s="96">
        <v>5</v>
      </c>
      <c r="C22" s="24">
        <f t="shared" si="3"/>
        <v>5</v>
      </c>
      <c r="D22" s="25">
        <f t="shared" ca="1" si="8"/>
        <v>45831</v>
      </c>
      <c r="E22" s="26">
        <f ca="1">IF($C22&lt;=$F$9,IF((H21+G22)&gt;(Калькулятор!$W$17),ROUNDUP((Калькулятор!$W$17)*A22,2),(H21+G22)),"")</f>
        <v>8770.32</v>
      </c>
      <c r="F22" s="26">
        <f t="shared" ca="1" si="4"/>
        <v>3513.4923619963693</v>
      </c>
      <c r="G22" s="26">
        <f t="shared" ca="1" si="5"/>
        <v>5256.8276380036305</v>
      </c>
      <c r="H22" s="26">
        <f t="shared" ca="1" si="6"/>
        <v>177760.39931624592</v>
      </c>
      <c r="J22" s="93">
        <f t="shared" si="7"/>
        <v>0.34799999999999998</v>
      </c>
      <c r="T22" s="24">
        <f t="shared" si="0"/>
        <v>7</v>
      </c>
      <c r="U22" s="78">
        <f t="shared" si="1"/>
        <v>0.97181729834791064</v>
      </c>
      <c r="V22" s="78">
        <f>IF($T22&gt;$F$9,"",PRODUCT($U$17:$U22))</f>
        <v>0.84237942635891061</v>
      </c>
      <c r="W22" s="78"/>
    </row>
    <row r="23" spans="1:23" ht="13.8">
      <c r="A23" s="99">
        <f t="shared" ca="1" si="2"/>
        <v>1</v>
      </c>
      <c r="B23" s="96">
        <v>6</v>
      </c>
      <c r="C23" s="24">
        <f t="shared" si="3"/>
        <v>6</v>
      </c>
      <c r="D23" s="25">
        <f t="shared" ca="1" si="8"/>
        <v>45861</v>
      </c>
      <c r="E23" s="26">
        <f ca="1">IF($C23&lt;=$F$9,IF((H22+G23)&gt;(Калькулятор!$W$17),ROUNDUP((Калькулятор!$W$17)*A23,2),(H22+G23)),"")</f>
        <v>8770.32</v>
      </c>
      <c r="F23" s="26">
        <f t="shared" ca="1" si="4"/>
        <v>3615.3814072607629</v>
      </c>
      <c r="G23" s="26">
        <f t="shared" ca="1" si="5"/>
        <v>5154.9385927392368</v>
      </c>
      <c r="H23" s="26">
        <f t="shared" ca="1" si="6"/>
        <v>174145.01790898514</v>
      </c>
      <c r="J23" s="93">
        <f t="shared" si="7"/>
        <v>0.34799999999999998</v>
      </c>
      <c r="T23" s="24">
        <f t="shared" si="0"/>
        <v>8</v>
      </c>
      <c r="U23" s="78">
        <f t="shared" si="1"/>
        <v>0.97181729834791064</v>
      </c>
      <c r="V23" s="78">
        <f>IF($T23&gt;$F$9,"",PRODUCT($U$17:$U23))</f>
        <v>0.8186388983079792</v>
      </c>
      <c r="W23" s="78"/>
    </row>
    <row r="24" spans="1:23" ht="13.8">
      <c r="A24" s="99">
        <f t="shared" ca="1" si="2"/>
        <v>1</v>
      </c>
      <c r="B24" s="96">
        <v>7</v>
      </c>
      <c r="C24" s="24">
        <f t="shared" si="3"/>
        <v>7</v>
      </c>
      <c r="D24" s="25">
        <f t="shared" ca="1" si="8"/>
        <v>45892</v>
      </c>
      <c r="E24" s="26">
        <f ca="1">IF($C24&lt;=$F$9,IF((H23+G24)&gt;(Калькулятор!$W$17),ROUNDUP((Калькулятор!$W$17)*A24,2),(H23+G24)),"")</f>
        <v>8770.32</v>
      </c>
      <c r="F24" s="26">
        <f t="shared" ca="1" si="4"/>
        <v>3720.2251700754714</v>
      </c>
      <c r="G24" s="26">
        <f t="shared" ca="1" si="5"/>
        <v>5050.0948299245283</v>
      </c>
      <c r="H24" s="26">
        <f t="shared" ca="1" si="6"/>
        <v>170424.79273890966</v>
      </c>
      <c r="J24" s="93">
        <f t="shared" si="7"/>
        <v>0.34799999999999998</v>
      </c>
      <c r="T24" s="24">
        <f t="shared" si="0"/>
        <v>9</v>
      </c>
      <c r="U24" s="78">
        <f t="shared" si="1"/>
        <v>0.97181729834791064</v>
      </c>
      <c r="V24" s="78">
        <f>IF($T24&gt;$F$9,"",PRODUCT($U$17:$U24))</f>
        <v>0.79556744247617028</v>
      </c>
      <c r="W24" s="78"/>
    </row>
    <row r="25" spans="1:23" ht="13.8">
      <c r="A25" s="99">
        <f t="shared" ca="1" si="2"/>
        <v>1</v>
      </c>
      <c r="B25" s="96">
        <v>8</v>
      </c>
      <c r="C25" s="24">
        <f t="shared" si="3"/>
        <v>8</v>
      </c>
      <c r="D25" s="25">
        <f t="shared" ca="1" si="8"/>
        <v>45923</v>
      </c>
      <c r="E25" s="26">
        <f ca="1">IF($C25&lt;=$F$9,IF((H24+G25)&gt;(Калькулятор!$W$17),ROUNDUP((Калькулятор!$W$17)*A25,2),(H24+G25)),"")</f>
        <v>8770.32</v>
      </c>
      <c r="F25" s="26">
        <f t="shared" ca="1" si="4"/>
        <v>3828.1093353713877</v>
      </c>
      <c r="G25" s="26">
        <f t="shared" ca="1" si="5"/>
        <v>4942.210664628612</v>
      </c>
      <c r="H25" s="26">
        <f t="shared" ca="1" si="6"/>
        <v>166596.68340353825</v>
      </c>
      <c r="J25" s="93">
        <f t="shared" si="7"/>
        <v>0.34799999999999998</v>
      </c>
      <c r="T25" s="24">
        <f t="shared" si="0"/>
        <v>10</v>
      </c>
      <c r="U25" s="78">
        <f t="shared" si="1"/>
        <v>0.97181729834791064</v>
      </c>
      <c r="V25" s="78">
        <f>IF($T25&gt;$F$9,"",PRODUCT($U$17:$U25))</f>
        <v>0.77314620260074862</v>
      </c>
      <c r="W25" s="78"/>
    </row>
    <row r="26" spans="1:23" ht="13.8">
      <c r="A26" s="99">
        <f t="shared" ca="1" si="2"/>
        <v>1</v>
      </c>
      <c r="B26" s="96">
        <v>9</v>
      </c>
      <c r="C26" s="24">
        <f t="shared" si="3"/>
        <v>9</v>
      </c>
      <c r="D26" s="25">
        <f t="shared" ca="1" si="8"/>
        <v>45953</v>
      </c>
      <c r="E26" s="26">
        <f ca="1">IF($C26&lt;=$F$9,IF((H25+G26)&gt;(Калькулятор!$W$17),ROUNDUP((Калькулятор!$W$17)*A26,2),(H25+G26)),"")</f>
        <v>8770.32</v>
      </c>
      <c r="F26" s="26">
        <f t="shared" ca="1" si="4"/>
        <v>3939.122072887938</v>
      </c>
      <c r="G26" s="26">
        <f t="shared" ca="1" si="5"/>
        <v>4831.1979271120617</v>
      </c>
      <c r="H26" s="26">
        <f t="shared" ca="1" si="6"/>
        <v>162657.56133065029</v>
      </c>
      <c r="J26" s="93">
        <f t="shared" si="7"/>
        <v>0.34799999999999998</v>
      </c>
      <c r="T26" s="24">
        <f t="shared" si="0"/>
        <v>11</v>
      </c>
      <c r="U26" s="78">
        <f t="shared" si="1"/>
        <v>0.97181729834791064</v>
      </c>
      <c r="V26" s="78">
        <f>IF($T26&gt;$F$9,"",PRODUCT($U$17:$U26))</f>
        <v>0.75135685383940587</v>
      </c>
      <c r="W26" s="78"/>
    </row>
    <row r="27" spans="1:23" ht="13.8">
      <c r="A27" s="99">
        <f t="shared" ca="1" si="2"/>
        <v>1</v>
      </c>
      <c r="B27" s="96">
        <v>10</v>
      </c>
      <c r="C27" s="24">
        <f t="shared" si="3"/>
        <v>10</v>
      </c>
      <c r="D27" s="25">
        <f t="shared" ca="1" si="8"/>
        <v>45984</v>
      </c>
      <c r="E27" s="26">
        <f ca="1">IF($C27&lt;=$F$9,IF((H26+G27)&gt;(Калькулятор!$W$17),ROUNDUP((Калькулятор!$W$17)*A27,2),(H26+G27)),"")</f>
        <v>8770.32</v>
      </c>
      <c r="F27" s="26">
        <f t="shared" ca="1" si="4"/>
        <v>4053.3541092309461</v>
      </c>
      <c r="G27" s="26">
        <f t="shared" ca="1" si="5"/>
        <v>4716.9658907690537</v>
      </c>
      <c r="H27" s="26">
        <f t="shared" ca="1" si="6"/>
        <v>158604.20722141935</v>
      </c>
      <c r="J27" s="93">
        <f t="shared" si="7"/>
        <v>0.34799999999999998</v>
      </c>
      <c r="T27" s="24">
        <f t="shared" si="0"/>
        <v>12</v>
      </c>
      <c r="U27" s="78">
        <f t="shared" si="1"/>
        <v>0.97181729834791064</v>
      </c>
      <c r="V27" s="78">
        <f>IF($T27&gt;$F$9,"",PRODUCT($U$17:$U27))</f>
        <v>0.73018158779339737</v>
      </c>
      <c r="W27" s="78"/>
    </row>
    <row r="28" spans="1:23" ht="13.8">
      <c r="A28" s="99">
        <f t="shared" ca="1" si="2"/>
        <v>1</v>
      </c>
      <c r="B28" s="96">
        <v>11</v>
      </c>
      <c r="C28" s="24">
        <f t="shared" si="3"/>
        <v>11</v>
      </c>
      <c r="D28" s="25">
        <f t="shared" ca="1" si="8"/>
        <v>46014</v>
      </c>
      <c r="E28" s="26">
        <f ca="1">IF($C28&lt;=$F$9,IF((H27+G28)&gt;(Калькулятор!$W$17),ROUNDUP((Калькулятор!$W$17)*A28,2),(H27+G28)),"")</f>
        <v>8770.32</v>
      </c>
      <c r="F28" s="26">
        <f t="shared" ca="1" si="4"/>
        <v>4170.8988020201414</v>
      </c>
      <c r="G28" s="26">
        <f t="shared" ca="1" si="5"/>
        <v>4599.4211979798583</v>
      </c>
      <c r="H28" s="26">
        <f t="shared" ca="1" si="6"/>
        <v>154433.3084193992</v>
      </c>
      <c r="J28" s="93">
        <f t="shared" si="7"/>
        <v>0.34799999999999998</v>
      </c>
      <c r="T28" s="24">
        <f t="shared" si="0"/>
        <v>13</v>
      </c>
      <c r="U28" s="78">
        <f t="shared" si="1"/>
        <v>0.97181729834791064</v>
      </c>
      <c r="V28" s="78">
        <f>IF($T28&gt;$F$9,"",PRODUCT($U$17:$U28))</f>
        <v>0.7096030979527671</v>
      </c>
      <c r="W28" s="78"/>
    </row>
    <row r="29" spans="1:23" ht="13.8">
      <c r="A29" s="99">
        <f t="shared" ca="1" si="2"/>
        <v>1</v>
      </c>
      <c r="B29" s="96">
        <v>12</v>
      </c>
      <c r="C29" s="24">
        <f t="shared" si="3"/>
        <v>12</v>
      </c>
      <c r="D29" s="25">
        <f t="shared" ca="1" si="8"/>
        <v>46045</v>
      </c>
      <c r="E29" s="26">
        <f ca="1">IF($C29&lt;=$F$9,IF((H28+G29)&gt;(Калькулятор!$W$17),ROUNDUP((Калькулятор!$W$17)*A29,2),(H28+G29)),"")</f>
        <v>8770.32</v>
      </c>
      <c r="F29" s="26">
        <f t="shared" ca="1" si="4"/>
        <v>4291.8522161868841</v>
      </c>
      <c r="G29" s="26">
        <f t="shared" ca="1" si="5"/>
        <v>4478.4677838131156</v>
      </c>
      <c r="H29" s="26">
        <f t="shared" ca="1" si="6"/>
        <v>150141.45620321229</v>
      </c>
      <c r="J29" s="93">
        <f t="shared" si="7"/>
        <v>0.34799999999999998</v>
      </c>
      <c r="T29" s="24">
        <f t="shared" si="0"/>
        <v>14</v>
      </c>
      <c r="U29" s="78">
        <f t="shared" si="1"/>
        <v>0.97181729834791064</v>
      </c>
      <c r="V29" s="78">
        <f>IF($T29&gt;$F$9,"",PRODUCT($U$17:$U29))</f>
        <v>0.68960456555176597</v>
      </c>
      <c r="W29" s="78"/>
    </row>
    <row r="30" spans="1:23" ht="13.8">
      <c r="A30" s="99">
        <f t="shared" ca="1" si="2"/>
        <v>1</v>
      </c>
      <c r="B30" s="96">
        <v>13</v>
      </c>
      <c r="C30" s="24">
        <f t="shared" si="3"/>
        <v>13</v>
      </c>
      <c r="D30" s="25">
        <f t="shared" ca="1" si="8"/>
        <v>46076</v>
      </c>
      <c r="E30" s="26">
        <f ca="1">IF($C30&lt;=$F$9,IF((H29+G30)&gt;(Калькулятор!$W$17),ROUNDUP((Калькулятор!$W$17)*A30,2),(H29+G30)),"")</f>
        <v>8770.32</v>
      </c>
      <c r="F30" s="26">
        <f t="shared" ca="1" si="4"/>
        <v>4416.3132024844854</v>
      </c>
      <c r="G30" s="26">
        <f t="shared" ca="1" si="5"/>
        <v>4354.0067975155143</v>
      </c>
      <c r="H30" s="26">
        <f t="shared" ca="1" si="6"/>
        <v>145725.14300072781</v>
      </c>
      <c r="J30" s="93">
        <f t="shared" si="7"/>
        <v>0.34799999999999998</v>
      </c>
      <c r="T30" s="24">
        <f t="shared" si="0"/>
        <v>15</v>
      </c>
      <c r="U30" s="78">
        <f t="shared" si="1"/>
        <v>0.97181729834791064</v>
      </c>
      <c r="V30" s="78">
        <f>IF($T30&gt;$F$9,"",PRODUCT($U$17:$U30))</f>
        <v>0.67016964582290184</v>
      </c>
      <c r="W30" s="78"/>
    </row>
    <row r="31" spans="1:23" ht="13.8">
      <c r="A31" s="99">
        <f t="shared" ca="1" si="2"/>
        <v>1</v>
      </c>
      <c r="B31" s="96">
        <v>14</v>
      </c>
      <c r="C31" s="24">
        <f t="shared" si="3"/>
        <v>14</v>
      </c>
      <c r="D31" s="25">
        <f t="shared" ca="1" si="8"/>
        <v>46104</v>
      </c>
      <c r="E31" s="26">
        <f ca="1">IF($C31&lt;=$F$9,IF((H30+G31)&gt;(Калькулятор!$W$17),ROUNDUP((Калькулятор!$W$17)*A31,2),(H30+G31)),"")</f>
        <v>8770.32</v>
      </c>
      <c r="F31" s="26">
        <f t="shared" ca="1" si="4"/>
        <v>4544.3834782752665</v>
      </c>
      <c r="G31" s="26">
        <f t="shared" ca="1" si="5"/>
        <v>4225.9365217247332</v>
      </c>
      <c r="H31" s="26">
        <f t="shared" ca="1" si="6"/>
        <v>141180.75952245254</v>
      </c>
      <c r="J31" s="93">
        <f t="shared" si="7"/>
        <v>0.34799999999999998</v>
      </c>
      <c r="T31" s="24">
        <f t="shared" si="0"/>
        <v>16</v>
      </c>
      <c r="U31" s="78">
        <f t="shared" si="1"/>
        <v>0.97181729834791064</v>
      </c>
      <c r="V31" s="78">
        <f>IF($T31&gt;$F$9,"",PRODUCT($U$17:$U31))</f>
        <v>0.65128245463838863</v>
      </c>
      <c r="W31" s="78"/>
    </row>
    <row r="32" spans="1:23" ht="13.8">
      <c r="A32" s="99">
        <f t="shared" ca="1" si="2"/>
        <v>1</v>
      </c>
      <c r="B32" s="96">
        <v>15</v>
      </c>
      <c r="C32" s="24">
        <f t="shared" si="3"/>
        <v>15</v>
      </c>
      <c r="D32" s="25">
        <f t="shared" ca="1" si="8"/>
        <v>46135</v>
      </c>
      <c r="E32" s="26">
        <f ca="1">IF($C32&lt;=$F$9,IF((H31+G32)&gt;(Калькулятор!$W$17),ROUNDUP((Калькулятор!$W$17)*A32,2),(H31+G32)),"")</f>
        <v>8770.32</v>
      </c>
      <c r="F32" s="26">
        <f t="shared" ca="1" si="4"/>
        <v>4676.1677106604084</v>
      </c>
      <c r="G32" s="26">
        <f t="shared" ca="1" si="5"/>
        <v>4094.1522893395913</v>
      </c>
      <c r="H32" s="26">
        <f t="shared" ca="1" si="6"/>
        <v>136504.59181179214</v>
      </c>
      <c r="J32" s="93">
        <f t="shared" si="7"/>
        <v>0.34799999999999998</v>
      </c>
      <c r="T32" s="24">
        <f t="shared" si="0"/>
        <v>17</v>
      </c>
      <c r="U32" s="78">
        <f t="shared" si="1"/>
        <v>0.97181729834791064</v>
      </c>
      <c r="V32" s="78">
        <f>IF($T32&gt;$F$9,"",PRODUCT($U$17:$U32))</f>
        <v>0.63292755552807445</v>
      </c>
      <c r="W32" s="78"/>
    </row>
    <row r="33" spans="1:23" ht="13.8">
      <c r="A33" s="99">
        <f t="shared" ca="1" si="2"/>
        <v>1</v>
      </c>
      <c r="B33" s="96">
        <v>16</v>
      </c>
      <c r="C33" s="24">
        <f t="shared" si="3"/>
        <v>16</v>
      </c>
      <c r="D33" s="25">
        <f t="shared" ca="1" si="8"/>
        <v>46165</v>
      </c>
      <c r="E33" s="26">
        <f ca="1">IF($C33&lt;=$F$9,IF((H32+G33)&gt;(Калькулятор!$W$17),ROUNDUP((Калькулятор!$W$17)*A33,2),(H32+G33)),"")</f>
        <v>8770.32</v>
      </c>
      <c r="F33" s="26">
        <f t="shared" ca="1" si="4"/>
        <v>4811.7736020204939</v>
      </c>
      <c r="G33" s="26">
        <f t="shared" ca="1" si="5"/>
        <v>3958.5463979795054</v>
      </c>
      <c r="H33" s="26">
        <f t="shared" ca="1" si="6"/>
        <v>131692.81820977165</v>
      </c>
      <c r="J33" s="93">
        <f t="shared" si="7"/>
        <v>0.34799999999999998</v>
      </c>
      <c r="T33" s="24">
        <f t="shared" si="0"/>
        <v>18</v>
      </c>
      <c r="U33" s="78">
        <f t="shared" si="1"/>
        <v>0.97181729834791064</v>
      </c>
      <c r="V33" s="78">
        <f>IF($T33&gt;$F$9,"",PRODUCT($U$17:$U33))</f>
        <v>0.61508994706324049</v>
      </c>
      <c r="W33" s="78"/>
    </row>
    <row r="34" spans="1:23" ht="13.8">
      <c r="A34" s="99">
        <f t="shared" ca="1" si="2"/>
        <v>1</v>
      </c>
      <c r="B34" s="96">
        <v>17</v>
      </c>
      <c r="C34" s="24">
        <f t="shared" si="3"/>
        <v>17</v>
      </c>
      <c r="D34" s="25">
        <f t="shared" ca="1" si="8"/>
        <v>46196</v>
      </c>
      <c r="E34" s="26">
        <f ca="1">IF($C34&lt;=$F$9,IF((H33+G34)&gt;(Калькулятор!$W$17),ROUNDUP((Калькулятор!$W$17)*A34,2),(H33+G34)),"")</f>
        <v>8770.32</v>
      </c>
      <c r="F34" s="26">
        <f t="shared" ca="1" si="4"/>
        <v>4951.3119780366897</v>
      </c>
      <c r="G34" s="26">
        <f t="shared" ca="1" si="5"/>
        <v>3819.0080219633101</v>
      </c>
      <c r="H34" s="26">
        <f t="shared" ca="1" si="6"/>
        <v>126741.50623173497</v>
      </c>
      <c r="J34" s="93">
        <f t="shared" si="7"/>
        <v>0.34799999999999998</v>
      </c>
      <c r="T34" s="24">
        <f t="shared" si="0"/>
        <v>19</v>
      </c>
      <c r="U34" s="78">
        <f t="shared" si="1"/>
        <v>0.97181729834791064</v>
      </c>
      <c r="V34" s="78">
        <f>IF($T34&gt;$F$9,"",PRODUCT($U$17:$U34))</f>
        <v>0.59775505059595779</v>
      </c>
      <c r="W34" s="78"/>
    </row>
    <row r="35" spans="1:23" ht="13.8">
      <c r="A35" s="99">
        <f t="shared" ca="1" si="2"/>
        <v>1</v>
      </c>
      <c r="B35" s="96">
        <v>18</v>
      </c>
      <c r="C35" s="24">
        <f t="shared" si="3"/>
        <v>18</v>
      </c>
      <c r="D35" s="25">
        <f t="shared" ca="1" si="8"/>
        <v>46226</v>
      </c>
      <c r="E35" s="26">
        <f ca="1">IF($C35&lt;=$F$9,IF((H34+G35)&gt;(Калькулятор!$W$17),ROUNDUP((Калькулятор!$W$17)*A35,2),(H34+G35)),"")</f>
        <v>8770.32</v>
      </c>
      <c r="F35" s="26">
        <f t="shared" ca="1" si="4"/>
        <v>5094.8968782644688</v>
      </c>
      <c r="G35" s="26">
        <f t="shared" ca="1" si="5"/>
        <v>3675.4231217355309</v>
      </c>
      <c r="H35" s="26">
        <f t="shared" ca="1" si="6"/>
        <v>121646.6093534705</v>
      </c>
      <c r="J35" s="93">
        <f t="shared" si="7"/>
        <v>0.34799999999999998</v>
      </c>
      <c r="T35" s="24">
        <f t="shared" si="0"/>
        <v>20</v>
      </c>
      <c r="U35" s="78">
        <f t="shared" si="1"/>
        <v>0.97181729834791064</v>
      </c>
      <c r="V35" s="78">
        <f>IF($T35&gt;$F$9,"",PRODUCT($U$17:$U35))</f>
        <v>0.58090869834398229</v>
      </c>
      <c r="W35" s="78"/>
    </row>
    <row r="36" spans="1:23" ht="13.8">
      <c r="A36" s="99">
        <f t="shared" ca="1" si="2"/>
        <v>1</v>
      </c>
      <c r="B36" s="96">
        <v>19</v>
      </c>
      <c r="C36" s="24">
        <f t="shared" si="3"/>
        <v>19</v>
      </c>
      <c r="D36" s="25">
        <f t="shared" ca="1" si="8"/>
        <v>46257</v>
      </c>
      <c r="E36" s="26">
        <f ca="1">IF($C36&lt;=$F$9,IF((H35+G36)&gt;(Калькулятор!$W$17),ROUNDUP((Калькулятор!$W$17)*A36,2),(H35+G36)),"")</f>
        <v>8770.32</v>
      </c>
      <c r="F36" s="26">
        <f t="shared" ca="1" si="4"/>
        <v>5242.645649333931</v>
      </c>
      <c r="G36" s="26">
        <f t="shared" ca="1" si="5"/>
        <v>3527.6743506660687</v>
      </c>
      <c r="H36" s="26">
        <f t="shared" ca="1" si="6"/>
        <v>116403.96370413658</v>
      </c>
      <c r="J36" s="93">
        <f t="shared" si="7"/>
        <v>0.34799999999999998</v>
      </c>
      <c r="T36" s="24">
        <f t="shared" si="0"/>
        <v>21</v>
      </c>
      <c r="U36" s="78">
        <f t="shared" si="1"/>
        <v>0.97181729834791064</v>
      </c>
      <c r="V36" s="78">
        <f>IF($T36&gt;$F$9,"",PRODUCT($U$17:$U36))</f>
        <v>0.56453712181145022</v>
      </c>
      <c r="W36" s="78"/>
    </row>
    <row r="37" spans="1:23" ht="13.8">
      <c r="A37" s="99">
        <f t="shared" ca="1" si="2"/>
        <v>1</v>
      </c>
      <c r="B37" s="96">
        <v>20</v>
      </c>
      <c r="C37" s="24">
        <f t="shared" si="3"/>
        <v>20</v>
      </c>
      <c r="D37" s="25">
        <f t="shared" ca="1" si="8"/>
        <v>46288</v>
      </c>
      <c r="E37" s="26">
        <f ca="1">IF($C37&lt;=$F$9,IF((H36+G37)&gt;(Калькулятор!$W$17),ROUNDUP((Калькулятор!$W$17)*A37,2),(H36+G37)),"")</f>
        <v>8770.32</v>
      </c>
      <c r="F37" s="26">
        <f t="shared" ca="1" si="4"/>
        <v>5394.6790408528595</v>
      </c>
      <c r="G37" s="26">
        <f t="shared" ca="1" si="5"/>
        <v>3375.6409591471406</v>
      </c>
      <c r="H37" s="26">
        <f t="shared" ca="1" si="6"/>
        <v>111009.28466328373</v>
      </c>
      <c r="J37" s="93">
        <f t="shared" si="7"/>
        <v>0.34799999999999998</v>
      </c>
      <c r="T37" s="24">
        <f t="shared" si="0"/>
        <v>22</v>
      </c>
      <c r="U37" s="78">
        <f t="shared" si="1"/>
        <v>0.97181729834791064</v>
      </c>
      <c r="V37" s="78">
        <f>IF($T37&gt;$F$9,"",PRODUCT($U$17:$U37))</f>
        <v>0.54862694053590888</v>
      </c>
      <c r="W37" s="78"/>
    </row>
    <row r="38" spans="1:23" ht="13.8">
      <c r="A38" s="99">
        <f t="shared" ca="1" si="2"/>
        <v>1</v>
      </c>
      <c r="B38" s="96">
        <v>21</v>
      </c>
      <c r="C38" s="24">
        <f t="shared" si="3"/>
        <v>21</v>
      </c>
      <c r="D38" s="25">
        <f t="shared" ca="1" si="8"/>
        <v>46318</v>
      </c>
      <c r="E38" s="26">
        <f ca="1">IF($C38&lt;=$F$9,IF((H37+G38)&gt;(Калькулятор!$W$17),ROUNDUP((Калькулятор!$W$17)*A38,2),(H37+G38)),"")</f>
        <v>8770.32</v>
      </c>
      <c r="F38" s="26">
        <f t="shared" ca="1" si="4"/>
        <v>5551.1213040909142</v>
      </c>
      <c r="G38" s="26">
        <f t="shared" ca="1" si="5"/>
        <v>3219.1986959090855</v>
      </c>
      <c r="H38" s="26">
        <f t="shared" ca="1" si="6"/>
        <v>105458.16335919281</v>
      </c>
      <c r="J38" s="93">
        <f t="shared" si="7"/>
        <v>0.34799999999999998</v>
      </c>
      <c r="T38" s="24">
        <f t="shared" si="0"/>
        <v>23</v>
      </c>
      <c r="U38" s="78">
        <f t="shared" si="1"/>
        <v>0.97181729834791064</v>
      </c>
      <c r="V38" s="78">
        <f>IF($T38&gt;$F$9,"",PRODUCT($U$17:$U38))</f>
        <v>0.53316515115248675</v>
      </c>
      <c r="W38" s="78"/>
    </row>
    <row r="39" spans="1:23" ht="13.8">
      <c r="A39" s="99">
        <f t="shared" ca="1" si="2"/>
        <v>1</v>
      </c>
      <c r="B39" s="96">
        <v>22</v>
      </c>
      <c r="C39" s="24">
        <f t="shared" si="3"/>
        <v>22</v>
      </c>
      <c r="D39" s="25">
        <f t="shared" ca="1" si="8"/>
        <v>46349</v>
      </c>
      <c r="E39" s="26">
        <f ca="1">IF($C39&lt;=$F$9,IF((H38+G39)&gt;(Калькулятор!$W$17),ROUNDUP((Калькулятор!$W$17)*A39,2),(H38+G39)),"")</f>
        <v>8770.32</v>
      </c>
      <c r="F39" s="26">
        <f t="shared" ca="1" si="4"/>
        <v>5712.1002935255983</v>
      </c>
      <c r="G39" s="26">
        <f t="shared" ca="1" si="5"/>
        <v>3058.2197064744014</v>
      </c>
      <c r="H39" s="26">
        <f t="shared" ca="1" si="6"/>
        <v>99746.0630656672</v>
      </c>
      <c r="J39" s="93">
        <f t="shared" si="7"/>
        <v>0.34799999999999998</v>
      </c>
      <c r="T39" s="24">
        <f t="shared" si="0"/>
        <v>24</v>
      </c>
      <c r="U39" s="78">
        <f t="shared" si="1"/>
        <v>0.97181729834791064</v>
      </c>
      <c r="V39" s="78">
        <f>IF($T39&gt;$F$9,"",PRODUCT($U$17:$U39))</f>
        <v>0.51813911676626512</v>
      </c>
      <c r="W39" s="78"/>
    </row>
    <row r="40" spans="1:23" ht="13.8">
      <c r="A40" s="99">
        <f t="shared" ca="1" si="2"/>
        <v>1</v>
      </c>
      <c r="B40" s="96">
        <v>23</v>
      </c>
      <c r="C40" s="24">
        <f t="shared" si="3"/>
        <v>23</v>
      </c>
      <c r="D40" s="25">
        <f t="shared" ca="1" si="8"/>
        <v>46379</v>
      </c>
      <c r="E40" s="26">
        <f ca="1">IF($C40&lt;=$F$9,IF((H39+G40)&gt;(Калькулятор!$W$17),ROUNDUP((Калькулятор!$W$17)*A40,2),(H39+G40)),"")</f>
        <v>8770.32</v>
      </c>
      <c r="F40" s="26">
        <f t="shared" ca="1" si="4"/>
        <v>5877.7475713329968</v>
      </c>
      <c r="G40" s="26">
        <f t="shared" ca="1" si="5"/>
        <v>2892.5724286670024</v>
      </c>
      <c r="H40" s="26">
        <f t="shared" ca="1" si="6"/>
        <v>93868.315494334209</v>
      </c>
      <c r="J40" s="93">
        <f t="shared" si="7"/>
        <v>0.34799999999999998</v>
      </c>
      <c r="T40" s="24">
        <f t="shared" si="0"/>
        <v>25</v>
      </c>
      <c r="U40" s="78">
        <f t="shared" si="1"/>
        <v>0.97181729834791064</v>
      </c>
      <c r="V40" s="78">
        <f>IF($T40&gt;$F$9,"",PRODUCT($U$17:$U40))</f>
        <v>0.50353655662416441</v>
      </c>
      <c r="W40" s="78"/>
    </row>
    <row r="41" spans="1:23" ht="13.8">
      <c r="A41" s="99">
        <f t="shared" ca="1" si="2"/>
        <v>1</v>
      </c>
      <c r="B41" s="96">
        <v>24</v>
      </c>
      <c r="C41" s="24">
        <f t="shared" si="3"/>
        <v>24</v>
      </c>
      <c r="D41" s="25">
        <f t="shared" ca="1" si="8"/>
        <v>46410</v>
      </c>
      <c r="E41" s="26">
        <f ca="1">IF($C41&lt;=$F$9,IF((H40+G41)&gt;(Калькулятор!$W$17),ROUNDUP((Калькулятор!$W$17)*A41,2),(H40+G41)),"")</f>
        <v>8770.32</v>
      </c>
      <c r="F41" s="26">
        <f t="shared" ca="1" si="4"/>
        <v>6048.1985149086768</v>
      </c>
      <c r="G41" s="26">
        <f t="shared" ca="1" si="5"/>
        <v>2722.1214850913229</v>
      </c>
      <c r="H41" s="26">
        <f t="shared" ca="1" si="6"/>
        <v>87820.11697942554</v>
      </c>
      <c r="J41" s="93">
        <f t="shared" si="7"/>
        <v>0.34799999999999998</v>
      </c>
      <c r="T41" s="24">
        <f t="shared" si="0"/>
        <v>26</v>
      </c>
      <c r="U41" s="78">
        <f t="shared" si="1"/>
        <v>0.97181729834791064</v>
      </c>
      <c r="V41" s="78">
        <f>IF($T41&gt;$F$9,"",PRODUCT($U$17:$U41))</f>
        <v>0.48934553607790521</v>
      </c>
      <c r="W41" s="78"/>
    </row>
    <row r="42" spans="1:23" ht="13.8">
      <c r="A42" s="99">
        <f t="shared" ca="1" si="2"/>
        <v>1</v>
      </c>
      <c r="B42" s="96">
        <v>25</v>
      </c>
      <c r="C42" s="24">
        <f t="shared" si="3"/>
        <v>25</v>
      </c>
      <c r="D42" s="25">
        <f t="shared" ca="1" si="8"/>
        <v>46441</v>
      </c>
      <c r="E42" s="26">
        <f ca="1">IF($C42&lt;=$F$9,IF((H41+G42)&gt;(Калькулятор!$W$17),ROUNDUP((Калькулятор!$W$17)*A42,2),(H41+G42)),"")</f>
        <v>8770.32</v>
      </c>
      <c r="F42" s="26">
        <f t="shared" ca="1" si="4"/>
        <v>6223.59242750663</v>
      </c>
      <c r="G42" s="26">
        <f t="shared" ca="1" si="5"/>
        <v>2546.7275724933702</v>
      </c>
      <c r="H42" s="26">
        <f t="shared" ca="1" si="6"/>
        <v>81596.524551918905</v>
      </c>
      <c r="J42" s="93">
        <f t="shared" si="7"/>
        <v>0.34799999999999998</v>
      </c>
      <c r="T42" s="24">
        <f t="shared" si="0"/>
        <v>27</v>
      </c>
      <c r="U42" s="78">
        <f t="shared" si="1"/>
        <v>0.97181729834791064</v>
      </c>
      <c r="V42" s="78">
        <f>IF($T42&gt;$F$9,"",PRODUCT($U$17:$U42))</f>
        <v>0.47555445682983988</v>
      </c>
      <c r="W42" s="78"/>
    </row>
    <row r="43" spans="1:23" ht="13.8">
      <c r="A43" s="99">
        <f t="shared" ca="1" si="2"/>
        <v>1</v>
      </c>
      <c r="B43" s="96">
        <v>26</v>
      </c>
      <c r="C43" s="24">
        <f t="shared" si="3"/>
        <v>26</v>
      </c>
      <c r="D43" s="25">
        <f t="shared" ca="1" si="8"/>
        <v>46469</v>
      </c>
      <c r="E43" s="26">
        <f ca="1">IF($C43&lt;=$F$9,IF((H42+G43)&gt;(Калькулятор!$W$17),ROUNDUP((Калькулятор!$W$17)*A43,2),(H42+G43)),"")</f>
        <v>8770.32</v>
      </c>
      <c r="F43" s="26">
        <f t="shared" ca="1" si="4"/>
        <v>6404.0726520866692</v>
      </c>
      <c r="G43" s="26">
        <f t="shared" ca="1" si="5"/>
        <v>2366.2473479133305</v>
      </c>
      <c r="H43" s="26">
        <f t="shared" ca="1" si="6"/>
        <v>75192.451899832231</v>
      </c>
      <c r="J43" s="93">
        <f t="shared" si="7"/>
        <v>0.34799999999999998</v>
      </c>
      <c r="T43" s="24">
        <f t="shared" si="0"/>
        <v>28</v>
      </c>
      <c r="U43" s="78">
        <f t="shared" si="1"/>
        <v>0.97181729834791064</v>
      </c>
      <c r="V43" s="78">
        <f>IF($T43&gt;$F$9,"",PRODUCT($U$17:$U43))</f>
        <v>0.4621520474536831</v>
      </c>
      <c r="W43" s="78"/>
    </row>
    <row r="44" spans="1:23" ht="13.8">
      <c r="A44" s="99">
        <f t="shared" ca="1" si="2"/>
        <v>1</v>
      </c>
      <c r="B44" s="96">
        <v>27</v>
      </c>
      <c r="C44" s="24">
        <f t="shared" si="3"/>
        <v>27</v>
      </c>
      <c r="D44" s="25">
        <f t="shared" ca="1" si="8"/>
        <v>46500</v>
      </c>
      <c r="E44" s="26">
        <f ca="1">IF($C44&lt;=$F$9,IF((H43+G44)&gt;(Калькулятор!$W$17),ROUNDUP((Калькулятор!$W$17)*A44,2),(H43+G44)),"")</f>
        <v>8770.32</v>
      </c>
      <c r="F44" s="26">
        <f t="shared" ca="1" si="4"/>
        <v>6589.7866884633331</v>
      </c>
      <c r="G44" s="26">
        <f t="shared" ca="1" si="5"/>
        <v>2180.533311536667</v>
      </c>
      <c r="H44" s="26">
        <f t="shared" ca="1" si="6"/>
        <v>68602.665211368905</v>
      </c>
      <c r="J44" s="93">
        <f t="shared" si="7"/>
        <v>0.34799999999999998</v>
      </c>
      <c r="T44" s="24">
        <f t="shared" si="0"/>
        <v>29</v>
      </c>
      <c r="U44" s="78">
        <f t="shared" si="1"/>
        <v>0.97181729834791064</v>
      </c>
      <c r="V44" s="78">
        <f>IF($T44&gt;$F$9,"",PRODUCT($U$17:$U44))</f>
        <v>0.44912735418239369</v>
      </c>
      <c r="W44" s="78"/>
    </row>
    <row r="45" spans="1:23" ht="13.8">
      <c r="A45" s="99">
        <f t="shared" ca="1" si="2"/>
        <v>1</v>
      </c>
      <c r="B45" s="96">
        <v>28</v>
      </c>
      <c r="C45" s="24">
        <f t="shared" si="3"/>
        <v>28</v>
      </c>
      <c r="D45" s="25">
        <f t="shared" ca="1" si="8"/>
        <v>46530</v>
      </c>
      <c r="E45" s="26">
        <f ca="1">IF($C45&lt;=$F$9,IF((H44+G45)&gt;(Калькулятор!$W$17),ROUNDUP((Калькулятор!$W$17)*A45,2),(H44+G45)),"")</f>
        <v>8770.32</v>
      </c>
      <c r="F45" s="26">
        <f t="shared" ca="1" si="4"/>
        <v>6780.8863138520246</v>
      </c>
      <c r="G45" s="26">
        <f t="shared" ca="1" si="5"/>
        <v>1989.4336861479749</v>
      </c>
      <c r="H45" s="26">
        <f t="shared" ca="1" si="6"/>
        <v>61821.778897516873</v>
      </c>
      <c r="J45" s="93">
        <f t="shared" si="7"/>
        <v>0.34799999999999998</v>
      </c>
      <c r="T45" s="24">
        <f t="shared" si="0"/>
        <v>30</v>
      </c>
      <c r="U45" s="78">
        <f t="shared" si="1"/>
        <v>0.97181729834791064</v>
      </c>
      <c r="V45" s="78">
        <f>IF($T45&gt;$F$9,"",PRODUCT($U$17:$U45))</f>
        <v>0.43646973195567901</v>
      </c>
      <c r="W45" s="78"/>
    </row>
    <row r="46" spans="1:23" ht="13.8">
      <c r="A46" s="99">
        <f t="shared" ca="1" si="2"/>
        <v>1</v>
      </c>
      <c r="B46" s="96">
        <v>29</v>
      </c>
      <c r="C46" s="24">
        <f t="shared" si="3"/>
        <v>29</v>
      </c>
      <c r="D46" s="25">
        <f t="shared" ca="1" si="8"/>
        <v>46561</v>
      </c>
      <c r="E46" s="26">
        <f ca="1">IF($C46&lt;=$F$9,IF((H45+G46)&gt;(Калькулятор!$W$17),ROUNDUP((Калькулятор!$W$17)*A46,2),(H45+G46)),"")</f>
        <v>8770.32</v>
      </c>
      <c r="F46" s="26">
        <f t="shared" ca="1" si="4"/>
        <v>6977.5277069109261</v>
      </c>
      <c r="G46" s="26">
        <f t="shared" ca="1" si="5"/>
        <v>1792.7922930890734</v>
      </c>
      <c r="H46" s="26">
        <f t="shared" ca="1" si="6"/>
        <v>54844.251190605944</v>
      </c>
      <c r="J46" s="93">
        <f t="shared" si="7"/>
        <v>0.34799999999999998</v>
      </c>
      <c r="T46" s="24">
        <f t="shared" si="0"/>
        <v>31</v>
      </c>
      <c r="U46" s="78">
        <f t="shared" si="1"/>
        <v>0.97181729834791064</v>
      </c>
      <c r="V46" s="78">
        <f>IF($T46&gt;$F$9,"",PRODUCT($U$17:$U46))</f>
        <v>0.42416883571980468</v>
      </c>
      <c r="W46" s="78"/>
    </row>
    <row r="47" spans="1:23" ht="13.8">
      <c r="A47" s="99">
        <f t="shared" ca="1" si="2"/>
        <v>1</v>
      </c>
      <c r="B47" s="96">
        <v>30</v>
      </c>
      <c r="C47" s="24">
        <f t="shared" si="3"/>
        <v>30</v>
      </c>
      <c r="D47" s="25">
        <f t="shared" ca="1" si="8"/>
        <v>46591</v>
      </c>
      <c r="E47" s="26">
        <f ca="1">IF($C47&lt;=$F$9,IF((H46+G47)&gt;(Калькулятор!$W$17),ROUNDUP((Калькулятор!$W$17)*A47,2),(H46+G47)),"")</f>
        <v>8770.32</v>
      </c>
      <c r="F47" s="26">
        <f t="shared" ca="1" si="4"/>
        <v>7179.8715753800334</v>
      </c>
      <c r="G47" s="26">
        <f t="shared" ca="1" si="5"/>
        <v>1590.4484246199661</v>
      </c>
      <c r="H47" s="26">
        <f t="shared" ca="1" si="6"/>
        <v>47664.379615225909</v>
      </c>
      <c r="J47" s="93">
        <f t="shared" si="7"/>
        <v>0.34799999999999998</v>
      </c>
      <c r="T47" s="24">
        <f t="shared" si="0"/>
        <v>32</v>
      </c>
      <c r="U47" s="78">
        <f t="shared" si="1"/>
        <v>0.97181729834791064</v>
      </c>
      <c r="V47" s="78">
        <f>IF($T47&gt;$F$9,"",PRODUCT($U$17:$U47))</f>
        <v>0.41221461197259934</v>
      </c>
      <c r="W47" s="78"/>
    </row>
    <row r="48" spans="1:23" ht="13.8">
      <c r="A48" s="99">
        <f t="shared" ca="1" si="2"/>
        <v>1</v>
      </c>
      <c r="B48" s="96">
        <v>31</v>
      </c>
      <c r="C48" s="24">
        <f t="shared" si="3"/>
        <v>31</v>
      </c>
      <c r="D48" s="25">
        <f t="shared" ca="1" si="8"/>
        <v>46622</v>
      </c>
      <c r="E48" s="26">
        <f ca="1">IF($C48&lt;=$F$9,IF((H47+G48)&gt;(Калькулятор!$W$17),ROUNDUP((Калькулятор!$W$17)*A48,2),(H47+G48)),"")</f>
        <v>8770.32</v>
      </c>
      <c r="F48" s="26">
        <f t="shared" ca="1" si="4"/>
        <v>7388.0832874216558</v>
      </c>
      <c r="G48" s="26">
        <f t="shared" ca="1" si="5"/>
        <v>1382.2367125783437</v>
      </c>
      <c r="H48" s="26">
        <f t="shared" ca="1" si="6"/>
        <v>40276.296327804252</v>
      </c>
      <c r="J48" s="93">
        <f t="shared" si="7"/>
        <v>0.34799999999999998</v>
      </c>
      <c r="T48" s="24">
        <f t="shared" ref="T48:T79" si="9">IF($B50&lt;=$F$9,B50,"")</f>
        <v>33</v>
      </c>
      <c r="U48" s="78">
        <f t="shared" si="1"/>
        <v>0.97181729834791064</v>
      </c>
      <c r="V48" s="78">
        <f>IF($T48&gt;$F$9,"",PRODUCT($U$17:$U48))</f>
        <v>0.40059729054674381</v>
      </c>
      <c r="W48" s="78"/>
    </row>
    <row r="49" spans="1:23" ht="13.8">
      <c r="A49" s="99">
        <f t="shared" ca="1" si="2"/>
        <v>1</v>
      </c>
      <c r="B49" s="96">
        <v>32</v>
      </c>
      <c r="C49" s="24">
        <f t="shared" si="3"/>
        <v>32</v>
      </c>
      <c r="D49" s="25">
        <f t="shared" ca="1" si="8"/>
        <v>46653</v>
      </c>
      <c r="E49" s="26">
        <f ca="1">IF($C49&lt;=$F$9,IF((H48+G49)&gt;(Калькулятор!$W$17),ROUNDUP((Калькулятор!$W$17)*A49,2),(H48+G49)),"")</f>
        <v>8770.32</v>
      </c>
      <c r="F49" s="26">
        <f t="shared" ca="1" si="4"/>
        <v>7602.3330067696988</v>
      </c>
      <c r="G49" s="26">
        <f t="shared" ca="1" si="5"/>
        <v>1167.9869932303013</v>
      </c>
      <c r="H49" s="26">
        <f t="shared" ca="1" si="6"/>
        <v>32673.963321034556</v>
      </c>
      <c r="J49" s="93">
        <f t="shared" si="7"/>
        <v>0.34799999999999998</v>
      </c>
      <c r="T49" s="24">
        <f t="shared" si="9"/>
        <v>34</v>
      </c>
      <c r="U49" s="78">
        <f t="shared" si="1"/>
        <v>0.97181729834791064</v>
      </c>
      <c r="V49" s="78">
        <f>IF($T49&gt;$F$9,"",PRODUCT($U$17:$U49))</f>
        <v>0.38930737662462955</v>
      </c>
      <c r="W49" s="78"/>
    </row>
    <row r="50" spans="1:23" ht="13.8">
      <c r="A50" s="99">
        <f t="shared" ca="1" si="2"/>
        <v>1</v>
      </c>
      <c r="B50" s="96">
        <v>33</v>
      </c>
      <c r="C50" s="24">
        <f t="shared" si="3"/>
        <v>33</v>
      </c>
      <c r="D50" s="25">
        <f t="shared" ca="1" si="8"/>
        <v>46683</v>
      </c>
      <c r="E50" s="26">
        <f ca="1">IF($C50&lt;=$F$9,IF((H49+G50)&gt;(Калькулятор!$W$17),ROUNDUP((Калькулятор!$W$17)*A50,2),(H49+G50)),"")</f>
        <v>8770.32</v>
      </c>
      <c r="F50" s="26">
        <f t="shared" ca="1" si="4"/>
        <v>7822.7958317981911</v>
      </c>
      <c r="G50" s="26">
        <f t="shared" ca="1" si="5"/>
        <v>947.52416820180895</v>
      </c>
      <c r="H50" s="26">
        <f t="shared" ca="1" si="6"/>
        <v>24851.167489236366</v>
      </c>
      <c r="J50" s="93">
        <f t="shared" si="7"/>
        <v>0.34799999999999998</v>
      </c>
      <c r="T50" s="24">
        <f t="shared" si="9"/>
        <v>35</v>
      </c>
      <c r="U50" s="78">
        <f t="shared" si="1"/>
        <v>0.97181729834791064</v>
      </c>
      <c r="V50" s="78">
        <f>IF($T50&gt;$F$9,"",PRODUCT($U$17:$U50))</f>
        <v>0.37833564297826006</v>
      </c>
      <c r="W50" s="78"/>
    </row>
    <row r="51" spans="1:23" ht="13.8">
      <c r="A51" s="99">
        <f t="shared" ca="1" si="2"/>
        <v>1</v>
      </c>
      <c r="B51" s="96">
        <v>34</v>
      </c>
      <c r="C51" s="24">
        <f t="shared" si="3"/>
        <v>34</v>
      </c>
      <c r="D51" s="25">
        <f t="shared" ca="1" si="8"/>
        <v>46714</v>
      </c>
      <c r="E51" s="26">
        <f ca="1">IF($C51&lt;=$F$9,IF((H50+G51)&gt;(Калькулятор!$W$17),ROUNDUP((Калькулятор!$W$17)*A51,2),(H50+G51)),"")</f>
        <v>8770.32</v>
      </c>
      <c r="F51" s="26">
        <f t="shared" ca="1" si="4"/>
        <v>8049.6519386227137</v>
      </c>
      <c r="G51" s="26">
        <f t="shared" ca="1" si="5"/>
        <v>720.66806137728611</v>
      </c>
      <c r="H51" s="26">
        <f t="shared" ca="1" si="6"/>
        <v>16801.515550613654</v>
      </c>
      <c r="J51" s="93">
        <f t="shared" si="7"/>
        <v>0.34799999999999998</v>
      </c>
      <c r="T51" s="24">
        <f t="shared" si="9"/>
        <v>36</v>
      </c>
      <c r="U51" s="78">
        <f t="shared" si="1"/>
        <v>0.97181729834791064</v>
      </c>
      <c r="V51" s="78">
        <f>IF($T51&gt;$F$9,"",PRODUCT($U$17:$U51))</f>
        <v>0.36767312242785238</v>
      </c>
      <c r="W51" s="78"/>
    </row>
    <row r="52" spans="1:23" ht="13.8">
      <c r="A52" s="99">
        <f t="shared" ca="1" si="2"/>
        <v>1</v>
      </c>
      <c r="B52" s="96">
        <v>35</v>
      </c>
      <c r="C52" s="24">
        <f t="shared" si="3"/>
        <v>35</v>
      </c>
      <c r="D52" s="25">
        <f t="shared" ca="1" si="8"/>
        <v>46744</v>
      </c>
      <c r="E52" s="26">
        <f ca="1">IF($C52&lt;=$F$9,IF((H51+G52)&gt;(Калькулятор!$W$17),ROUNDUP((Калькулятор!$W$17)*A52,2),(H51+G52)),"")</f>
        <v>8770.32</v>
      </c>
      <c r="F52" s="26">
        <f t="shared" ca="1" si="4"/>
        <v>8283.0867283516764</v>
      </c>
      <c r="G52" s="26">
        <f t="shared" ca="1" si="5"/>
        <v>487.23327164832273</v>
      </c>
      <c r="H52" s="26">
        <f t="shared" ca="1" si="6"/>
        <v>8518.4288222619762</v>
      </c>
      <c r="J52" s="93">
        <f t="shared" si="7"/>
        <v>0.34799999999999998</v>
      </c>
      <c r="T52" s="24" t="str">
        <f t="shared" si="9"/>
        <v/>
      </c>
      <c r="U52" s="78" t="str">
        <f t="shared" si="1"/>
        <v/>
      </c>
      <c r="V52" s="78" t="str">
        <f>IF($T52&gt;$F$9,"",PRODUCT($U$17:$U52))</f>
        <v/>
      </c>
      <c r="W52" s="78"/>
    </row>
    <row r="53" spans="1:23" ht="13.8">
      <c r="A53" s="99">
        <f t="shared" ca="1" si="2"/>
        <v>1</v>
      </c>
      <c r="B53" s="96">
        <v>36</v>
      </c>
      <c r="C53" s="24">
        <f t="shared" si="3"/>
        <v>36</v>
      </c>
      <c r="D53" s="25">
        <f t="shared" ca="1" si="8"/>
        <v>46775</v>
      </c>
      <c r="E53" s="26">
        <f ca="1">IF($C53&lt;=$F$9,IF((H52+G53)&gt;(Калькулятор!$W$17),ROUNDUP((Калькулятор!$W$17)*A53,2),(H52+G53)),"")</f>
        <v>8765.4578436541851</v>
      </c>
      <c r="F53" s="26">
        <f t="shared" ca="1" si="4"/>
        <v>8518.4288222619762</v>
      </c>
      <c r="G53" s="26">
        <f t="shared" ca="1" si="5"/>
        <v>247.0290213922089</v>
      </c>
      <c r="H53" s="26">
        <f t="shared" ca="1" si="6"/>
        <v>0</v>
      </c>
      <c r="J53" s="93">
        <f t="shared" si="7"/>
        <v>0.34799999999999998</v>
      </c>
      <c r="T53" s="24" t="str">
        <f t="shared" si="9"/>
        <v/>
      </c>
      <c r="U53" s="78" t="str">
        <f t="shared" si="1"/>
        <v/>
      </c>
      <c r="V53" s="78" t="str">
        <f>IF($T53&gt;$F$9,"",PRODUCT($U$17:$U53))</f>
        <v/>
      </c>
      <c r="W53" s="78"/>
    </row>
    <row r="54" spans="1:23" ht="13.8">
      <c r="A54" s="99">
        <f t="shared" ca="1" si="2"/>
        <v>0</v>
      </c>
      <c r="B54" s="96">
        <v>37</v>
      </c>
      <c r="C54" s="24" t="str">
        <f t="shared" si="3"/>
        <v/>
      </c>
      <c r="D54" s="25" t="str">
        <f t="shared" si="8"/>
        <v/>
      </c>
      <c r="E54" s="26" t="str">
        <f>IF($C54&lt;=$F$9,IF((H53+G54)&gt;(Калькулятор!$W$17),ROUNDUP((Калькулятор!$W$17)*A54,2),(H53+G54)),"")</f>
        <v/>
      </c>
      <c r="F54" s="26" t="str">
        <f t="shared" si="4"/>
        <v/>
      </c>
      <c r="G54" s="26" t="str">
        <f t="shared" si="5"/>
        <v/>
      </c>
      <c r="H54" s="26" t="str">
        <f t="shared" si="6"/>
        <v/>
      </c>
      <c r="J54" s="93">
        <f t="shared" si="7"/>
        <v>0.34799999999999998</v>
      </c>
      <c r="T54" s="24" t="str">
        <f t="shared" si="9"/>
        <v/>
      </c>
      <c r="U54" s="78" t="str">
        <f t="shared" si="1"/>
        <v/>
      </c>
      <c r="V54" s="78" t="str">
        <f>IF($T54&gt;$F$9,"",PRODUCT($U$17:$U54))</f>
        <v/>
      </c>
      <c r="W54" s="78"/>
    </row>
    <row r="55" spans="1:23" ht="13.8">
      <c r="A55" s="99">
        <f t="shared" si="2"/>
        <v>1</v>
      </c>
      <c r="B55" s="96">
        <v>38</v>
      </c>
      <c r="C55" s="24" t="str">
        <f t="shared" si="3"/>
        <v/>
      </c>
      <c r="D55" s="25" t="str">
        <f t="shared" si="8"/>
        <v/>
      </c>
      <c r="E55" s="26" t="str">
        <f>IF($C55&lt;=$F$9,IF((H54+G55)&gt;(Калькулятор!$W$17),ROUNDUP((Калькулятор!$W$17)*A55,2),(H54+G55)),"")</f>
        <v/>
      </c>
      <c r="F55" s="26" t="str">
        <f t="shared" si="4"/>
        <v/>
      </c>
      <c r="G55" s="26" t="str">
        <f t="shared" si="5"/>
        <v/>
      </c>
      <c r="H55" s="26" t="str">
        <f t="shared" si="6"/>
        <v/>
      </c>
      <c r="J55" s="93">
        <f t="shared" si="7"/>
        <v>0.34799999999999998</v>
      </c>
      <c r="T55" s="24" t="str">
        <f t="shared" si="9"/>
        <v/>
      </c>
      <c r="U55" s="78" t="str">
        <f t="shared" si="1"/>
        <v/>
      </c>
      <c r="V55" s="78" t="str">
        <f>IF($T55&gt;$F$9,"",PRODUCT($U$17:$U55))</f>
        <v/>
      </c>
      <c r="W55" s="78"/>
    </row>
    <row r="56" spans="1:23" ht="13.8">
      <c r="A56" s="99">
        <f t="shared" si="2"/>
        <v>1</v>
      </c>
      <c r="B56" s="96">
        <v>39</v>
      </c>
      <c r="C56" s="24" t="str">
        <f t="shared" si="3"/>
        <v/>
      </c>
      <c r="D56" s="25" t="str">
        <f t="shared" si="8"/>
        <v/>
      </c>
      <c r="E56" s="26" t="str">
        <f>IF($C56&lt;=$F$9,IF((H55+G56)&gt;(Калькулятор!$W$17),ROUNDUP((Калькулятор!$W$17)*A56,2),(H55+G56)),"")</f>
        <v/>
      </c>
      <c r="F56" s="26" t="str">
        <f t="shared" si="4"/>
        <v/>
      </c>
      <c r="G56" s="26" t="str">
        <f t="shared" si="5"/>
        <v/>
      </c>
      <c r="H56" s="26" t="str">
        <f t="shared" si="6"/>
        <v/>
      </c>
      <c r="J56" s="93">
        <f t="shared" si="7"/>
        <v>0.34799999999999998</v>
      </c>
      <c r="T56" s="24" t="str">
        <f t="shared" si="9"/>
        <v/>
      </c>
      <c r="U56" s="78" t="str">
        <f t="shared" si="1"/>
        <v/>
      </c>
      <c r="V56" s="78" t="str">
        <f>IF($T56&gt;$F$9,"",PRODUCT($U$17:$U56))</f>
        <v/>
      </c>
      <c r="W56" s="78"/>
    </row>
    <row r="57" spans="1:23" ht="13.8">
      <c r="A57" s="99">
        <f t="shared" si="2"/>
        <v>1</v>
      </c>
      <c r="B57" s="96">
        <v>40</v>
      </c>
      <c r="C57" s="24" t="str">
        <f t="shared" si="3"/>
        <v/>
      </c>
      <c r="D57" s="25" t="str">
        <f t="shared" si="8"/>
        <v/>
      </c>
      <c r="E57" s="26" t="str">
        <f>IF($C57&lt;=$F$9,IF((H56+G57)&gt;(Калькулятор!$W$17),ROUNDUP((Калькулятор!$W$17)*A57,2),(H56+G57)),"")</f>
        <v/>
      </c>
      <c r="F57" s="26" t="str">
        <f t="shared" si="4"/>
        <v/>
      </c>
      <c r="G57" s="26" t="str">
        <f t="shared" si="5"/>
        <v/>
      </c>
      <c r="H57" s="26" t="str">
        <f t="shared" si="6"/>
        <v/>
      </c>
      <c r="J57" s="93">
        <f t="shared" si="7"/>
        <v>0.34799999999999998</v>
      </c>
      <c r="T57" s="24" t="str">
        <f t="shared" si="9"/>
        <v/>
      </c>
      <c r="U57" s="78" t="str">
        <f t="shared" si="1"/>
        <v/>
      </c>
      <c r="V57" s="78" t="str">
        <f>IF($T57&gt;$F$9,"",PRODUCT($U$17:$U57))</f>
        <v/>
      </c>
      <c r="W57" s="78"/>
    </row>
    <row r="58" spans="1:23" ht="13.8">
      <c r="A58" s="99">
        <f t="shared" si="2"/>
        <v>1</v>
      </c>
      <c r="B58" s="96">
        <v>41</v>
      </c>
      <c r="C58" s="24" t="str">
        <f t="shared" si="3"/>
        <v/>
      </c>
      <c r="D58" s="25" t="str">
        <f t="shared" si="8"/>
        <v/>
      </c>
      <c r="E58" s="26" t="str">
        <f>IF($C58&lt;=$F$9,IF((H57+G58)&gt;(Калькулятор!$W$17),ROUNDUP((Калькулятор!$W$17)*A58,2),(H57+G58)),"")</f>
        <v/>
      </c>
      <c r="F58" s="26" t="str">
        <f t="shared" si="4"/>
        <v/>
      </c>
      <c r="G58" s="26" t="str">
        <f t="shared" si="5"/>
        <v/>
      </c>
      <c r="H58" s="26" t="str">
        <f t="shared" si="6"/>
        <v/>
      </c>
      <c r="J58" s="93">
        <f t="shared" si="7"/>
        <v>0.34799999999999998</v>
      </c>
      <c r="T58" s="24" t="str">
        <f t="shared" si="9"/>
        <v/>
      </c>
      <c r="U58" s="78" t="str">
        <f t="shared" si="1"/>
        <v/>
      </c>
      <c r="V58" s="78" t="str">
        <f>IF($T58&gt;$F$9,"",PRODUCT($U$17:$U58))</f>
        <v/>
      </c>
      <c r="W58" s="78"/>
    </row>
    <row r="59" spans="1:23" ht="13.8">
      <c r="A59" s="99">
        <f t="shared" si="2"/>
        <v>1</v>
      </c>
      <c r="B59" s="96">
        <v>42</v>
      </c>
      <c r="C59" s="24" t="str">
        <f t="shared" si="3"/>
        <v/>
      </c>
      <c r="D59" s="25" t="str">
        <f t="shared" si="8"/>
        <v/>
      </c>
      <c r="E59" s="26" t="str">
        <f>IF($C59&lt;=$F$9,IF((H58+G59)&gt;(Калькулятор!$W$17),ROUNDUP((Калькулятор!$W$17)*A59,2),(H58+G59)),"")</f>
        <v/>
      </c>
      <c r="F59" s="26" t="str">
        <f t="shared" si="4"/>
        <v/>
      </c>
      <c r="G59" s="26" t="str">
        <f t="shared" si="5"/>
        <v/>
      </c>
      <c r="H59" s="26" t="str">
        <f t="shared" si="6"/>
        <v/>
      </c>
      <c r="J59" s="93">
        <f t="shared" si="7"/>
        <v>0.34799999999999998</v>
      </c>
      <c r="T59" s="24" t="str">
        <f t="shared" si="9"/>
        <v/>
      </c>
      <c r="U59" s="78" t="str">
        <f t="shared" si="1"/>
        <v/>
      </c>
      <c r="V59" s="78" t="str">
        <f>IF($T59&gt;$F$9,"",PRODUCT($U$17:$U59))</f>
        <v/>
      </c>
      <c r="W59" s="78"/>
    </row>
    <row r="60" spans="1:23" ht="13.8">
      <c r="A60" s="99">
        <f t="shared" si="2"/>
        <v>1</v>
      </c>
      <c r="B60" s="96">
        <v>43</v>
      </c>
      <c r="C60" s="24" t="str">
        <f t="shared" si="3"/>
        <v/>
      </c>
      <c r="D60" s="25" t="str">
        <f t="shared" si="8"/>
        <v/>
      </c>
      <c r="E60" s="26" t="str">
        <f>IF($C60&lt;=$F$9,IF((H59+G60)&gt;(Калькулятор!$W$17),ROUNDUP((Калькулятор!$W$17)*A60,2),(H59+G60)),"")</f>
        <v/>
      </c>
      <c r="F60" s="26" t="str">
        <f t="shared" si="4"/>
        <v/>
      </c>
      <c r="G60" s="26" t="str">
        <f t="shared" si="5"/>
        <v/>
      </c>
      <c r="H60" s="26" t="str">
        <f t="shared" si="6"/>
        <v/>
      </c>
      <c r="J60" s="93">
        <f t="shared" si="7"/>
        <v>0.34799999999999998</v>
      </c>
      <c r="T60" s="24" t="str">
        <f t="shared" si="9"/>
        <v/>
      </c>
      <c r="U60" s="78" t="str">
        <f t="shared" si="1"/>
        <v/>
      </c>
      <c r="V60" s="78" t="str">
        <f>IF($T60&gt;$F$9,"",PRODUCT($U$17:$U60))</f>
        <v/>
      </c>
      <c r="W60" s="78"/>
    </row>
    <row r="61" spans="1:23" ht="13.8">
      <c r="A61" s="99">
        <f t="shared" si="2"/>
        <v>1</v>
      </c>
      <c r="B61" s="96">
        <v>44</v>
      </c>
      <c r="C61" s="24" t="str">
        <f t="shared" si="3"/>
        <v/>
      </c>
      <c r="D61" s="25" t="str">
        <f t="shared" si="8"/>
        <v/>
      </c>
      <c r="E61" s="26" t="str">
        <f>IF($C61&lt;=$F$9,IF((H60+G61)&gt;(Калькулятор!$W$17),ROUNDUP((Калькулятор!$W$17)*A61,2),(H60+G61)),"")</f>
        <v/>
      </c>
      <c r="F61" s="26" t="str">
        <f t="shared" si="4"/>
        <v/>
      </c>
      <c r="G61" s="26" t="str">
        <f t="shared" si="5"/>
        <v/>
      </c>
      <c r="H61" s="26" t="str">
        <f t="shared" si="6"/>
        <v/>
      </c>
      <c r="J61" s="93">
        <f t="shared" si="7"/>
        <v>0.34799999999999998</v>
      </c>
      <c r="T61" s="24" t="str">
        <f t="shared" si="9"/>
        <v/>
      </c>
      <c r="U61" s="78" t="str">
        <f t="shared" si="1"/>
        <v/>
      </c>
      <c r="V61" s="78" t="str">
        <f>IF($T61&gt;$F$9,"",PRODUCT($U$17:$U61))</f>
        <v/>
      </c>
      <c r="W61" s="78"/>
    </row>
    <row r="62" spans="1:23" ht="13.8">
      <c r="A62" s="99">
        <f t="shared" si="2"/>
        <v>1</v>
      </c>
      <c r="B62" s="96">
        <v>45</v>
      </c>
      <c r="C62" s="24" t="str">
        <f t="shared" si="3"/>
        <v/>
      </c>
      <c r="D62" s="25" t="str">
        <f t="shared" si="8"/>
        <v/>
      </c>
      <c r="E62" s="26" t="str">
        <f>IF($C62&lt;=$F$9,IF((H61+G62)&gt;(Калькулятор!$W$17),ROUNDUP((Калькулятор!$W$17)*A62,2),(H61+G62)),"")</f>
        <v/>
      </c>
      <c r="F62" s="26" t="str">
        <f t="shared" si="4"/>
        <v/>
      </c>
      <c r="G62" s="26" t="str">
        <f t="shared" si="5"/>
        <v/>
      </c>
      <c r="H62" s="26" t="str">
        <f t="shared" si="6"/>
        <v/>
      </c>
      <c r="J62" s="93">
        <f t="shared" si="7"/>
        <v>0.34799999999999998</v>
      </c>
      <c r="T62" s="24" t="str">
        <f t="shared" si="9"/>
        <v/>
      </c>
      <c r="U62" s="78" t="str">
        <f t="shared" si="1"/>
        <v/>
      </c>
      <c r="V62" s="78" t="str">
        <f>IF($T62&gt;$F$9,"",PRODUCT($U$17:$U62))</f>
        <v/>
      </c>
      <c r="W62" s="78"/>
    </row>
    <row r="63" spans="1:23" ht="13.8">
      <c r="A63" s="99">
        <f t="shared" si="2"/>
        <v>1</v>
      </c>
      <c r="B63" s="96">
        <v>46</v>
      </c>
      <c r="C63" s="24" t="str">
        <f t="shared" si="3"/>
        <v/>
      </c>
      <c r="D63" s="25" t="str">
        <f t="shared" si="8"/>
        <v/>
      </c>
      <c r="E63" s="26" t="str">
        <f>IF($C63&lt;=$F$9,IF((H62+G63)&gt;(Калькулятор!$W$17),ROUNDUP((Калькулятор!$W$17)*A63,2),(H62+G63)),"")</f>
        <v/>
      </c>
      <c r="F63" s="26" t="str">
        <f t="shared" si="4"/>
        <v/>
      </c>
      <c r="G63" s="26" t="str">
        <f t="shared" si="5"/>
        <v/>
      </c>
      <c r="H63" s="26" t="str">
        <f t="shared" si="6"/>
        <v/>
      </c>
      <c r="J63" s="93">
        <f t="shared" si="7"/>
        <v>0.34799999999999998</v>
      </c>
      <c r="T63" s="24" t="str">
        <f t="shared" si="9"/>
        <v/>
      </c>
      <c r="U63" s="78" t="str">
        <f t="shared" si="1"/>
        <v/>
      </c>
      <c r="V63" s="78" t="str">
        <f>IF($T63&gt;$F$9,"",PRODUCT($U$17:$U63))</f>
        <v/>
      </c>
      <c r="W63" s="78"/>
    </row>
    <row r="64" spans="1:23" ht="13.8">
      <c r="A64" s="99">
        <f t="shared" si="2"/>
        <v>1</v>
      </c>
      <c r="B64" s="96">
        <v>47</v>
      </c>
      <c r="C64" s="24" t="str">
        <f t="shared" si="3"/>
        <v/>
      </c>
      <c r="D64" s="25" t="str">
        <f t="shared" si="8"/>
        <v/>
      </c>
      <c r="E64" s="26" t="str">
        <f>IF($C64&lt;=$F$9,IF((H63+G64)&gt;(Калькулятор!$W$17),ROUNDUP((Калькулятор!$W$17)*A64,2),(H63+G64)),"")</f>
        <v/>
      </c>
      <c r="F64" s="26" t="str">
        <f t="shared" si="4"/>
        <v/>
      </c>
      <c r="G64" s="26" t="str">
        <f t="shared" si="5"/>
        <v/>
      </c>
      <c r="H64" s="26" t="str">
        <f t="shared" si="6"/>
        <v/>
      </c>
      <c r="J64" s="93">
        <f t="shared" si="7"/>
        <v>0.34799999999999998</v>
      </c>
      <c r="T64" s="24" t="str">
        <f t="shared" si="9"/>
        <v/>
      </c>
      <c r="U64" s="78" t="str">
        <f t="shared" si="1"/>
        <v/>
      </c>
      <c r="V64" s="78" t="str">
        <f>IF($T64&gt;$F$9,"",PRODUCT($U$17:$U64))</f>
        <v/>
      </c>
      <c r="W64" s="78"/>
    </row>
    <row r="65" spans="1:23" ht="13.8">
      <c r="A65" s="99">
        <f t="shared" si="2"/>
        <v>1</v>
      </c>
      <c r="B65" s="96">
        <v>48</v>
      </c>
      <c r="C65" s="24" t="str">
        <f t="shared" si="3"/>
        <v/>
      </c>
      <c r="D65" s="25" t="str">
        <f t="shared" si="8"/>
        <v/>
      </c>
      <c r="E65" s="26" t="str">
        <f>IF($C65&lt;=$F$9,IF((H64+G65)&gt;(Калькулятор!$W$17),ROUNDUP((Калькулятор!$W$17)*A65,2),(H64+G65)),"")</f>
        <v/>
      </c>
      <c r="F65" s="26" t="str">
        <f t="shared" si="4"/>
        <v/>
      </c>
      <c r="G65" s="26" t="str">
        <f t="shared" si="5"/>
        <v/>
      </c>
      <c r="H65" s="26" t="str">
        <f t="shared" si="6"/>
        <v/>
      </c>
      <c r="J65" s="93">
        <f t="shared" si="7"/>
        <v>0.34799999999999998</v>
      </c>
      <c r="T65" s="24" t="str">
        <f t="shared" si="9"/>
        <v/>
      </c>
      <c r="U65" s="78" t="str">
        <f t="shared" si="1"/>
        <v/>
      </c>
      <c r="V65" s="78" t="str">
        <f>IF($T65&gt;$F$9,"",PRODUCT($U$17:$U65))</f>
        <v/>
      </c>
      <c r="W65" s="78"/>
    </row>
    <row r="66" spans="1:23" ht="13.8">
      <c r="A66" s="99">
        <f t="shared" si="2"/>
        <v>1</v>
      </c>
      <c r="B66" s="96">
        <v>49</v>
      </c>
      <c r="C66" s="24" t="str">
        <f t="shared" si="3"/>
        <v/>
      </c>
      <c r="D66" s="25" t="str">
        <f t="shared" si="8"/>
        <v/>
      </c>
      <c r="E66" s="26" t="str">
        <f>IF($C66&lt;=$F$9,IF((H65+G66)&gt;(Калькулятор!$W$17),ROUNDUP((Калькулятор!$W$17)*A66,2),(H65+G66)),"")</f>
        <v/>
      </c>
      <c r="F66" s="26" t="str">
        <f t="shared" si="4"/>
        <v/>
      </c>
      <c r="G66" s="26" t="str">
        <f t="shared" si="5"/>
        <v/>
      </c>
      <c r="H66" s="26" t="str">
        <f t="shared" si="6"/>
        <v/>
      </c>
      <c r="J66" s="93">
        <f t="shared" si="7"/>
        <v>0.34799999999999998</v>
      </c>
      <c r="T66" s="24" t="str">
        <f t="shared" si="9"/>
        <v/>
      </c>
      <c r="U66" s="78" t="str">
        <f t="shared" si="1"/>
        <v/>
      </c>
      <c r="V66" s="78" t="str">
        <f>IF($T66&gt;$F$9,"",PRODUCT($U$17:$U66))</f>
        <v/>
      </c>
      <c r="W66" s="78"/>
    </row>
    <row r="67" spans="1:23" ht="13.8">
      <c r="A67" s="99">
        <f t="shared" si="2"/>
        <v>1</v>
      </c>
      <c r="B67" s="96">
        <v>50</v>
      </c>
      <c r="C67" s="24" t="str">
        <f t="shared" si="3"/>
        <v/>
      </c>
      <c r="D67" s="25" t="str">
        <f t="shared" si="8"/>
        <v/>
      </c>
      <c r="E67" s="26" t="str">
        <f>IF($C67&lt;=$F$9,IF((H66+G67)&gt;(Калькулятор!$W$17),ROUNDUP((Калькулятор!$W$17)*A67,2),(H66+G67)),"")</f>
        <v/>
      </c>
      <c r="F67" s="26" t="str">
        <f t="shared" si="4"/>
        <v/>
      </c>
      <c r="G67" s="26" t="str">
        <f t="shared" si="5"/>
        <v/>
      </c>
      <c r="H67" s="26" t="str">
        <f t="shared" si="6"/>
        <v/>
      </c>
      <c r="J67" s="93">
        <f t="shared" si="7"/>
        <v>0.34799999999999998</v>
      </c>
      <c r="T67" s="24" t="str">
        <f t="shared" si="9"/>
        <v/>
      </c>
      <c r="U67" s="78" t="str">
        <f t="shared" si="1"/>
        <v/>
      </c>
      <c r="V67" s="78" t="str">
        <f>IF($T67&gt;$F$9,"",PRODUCT($U$17:$U67))</f>
        <v/>
      </c>
      <c r="W67" s="78"/>
    </row>
    <row r="68" spans="1:23" ht="13.8">
      <c r="A68" s="99">
        <f t="shared" si="2"/>
        <v>1</v>
      </c>
      <c r="B68" s="96">
        <v>51</v>
      </c>
      <c r="C68" s="24" t="str">
        <f t="shared" si="3"/>
        <v/>
      </c>
      <c r="D68" s="25" t="str">
        <f t="shared" si="8"/>
        <v/>
      </c>
      <c r="E68" s="26" t="str">
        <f>IF($C68&lt;=$F$9,IF((H67+G68)&gt;(Калькулятор!$W$17),ROUNDUP((Калькулятор!$W$17)*A68,2),(H67+G68)),"")</f>
        <v/>
      </c>
      <c r="F68" s="26" t="str">
        <f t="shared" si="4"/>
        <v/>
      </c>
      <c r="G68" s="26" t="str">
        <f t="shared" si="5"/>
        <v/>
      </c>
      <c r="H68" s="26" t="str">
        <f t="shared" si="6"/>
        <v/>
      </c>
      <c r="J68" s="93">
        <f t="shared" si="7"/>
        <v>0.34799999999999998</v>
      </c>
      <c r="T68" s="24" t="str">
        <f t="shared" si="9"/>
        <v/>
      </c>
      <c r="U68" s="78" t="str">
        <f t="shared" si="1"/>
        <v/>
      </c>
      <c r="V68" s="78" t="str">
        <f>IF($T68&gt;$F$9,"",PRODUCT($U$17:$U68))</f>
        <v/>
      </c>
      <c r="W68" s="78"/>
    </row>
    <row r="69" spans="1:23" ht="13.8">
      <c r="A69" s="99">
        <f t="shared" si="2"/>
        <v>1</v>
      </c>
      <c r="B69" s="96">
        <v>52</v>
      </c>
      <c r="C69" s="24" t="str">
        <f t="shared" si="3"/>
        <v/>
      </c>
      <c r="D69" s="25" t="str">
        <f t="shared" si="8"/>
        <v/>
      </c>
      <c r="E69" s="26" t="str">
        <f>IF($C69&lt;=$F$9,IF((H68+G69)&gt;(Калькулятор!$W$17),ROUNDUP((Калькулятор!$W$17)*A69,2),(H68+G69)),"")</f>
        <v/>
      </c>
      <c r="F69" s="26" t="str">
        <f t="shared" si="4"/>
        <v/>
      </c>
      <c r="G69" s="26" t="str">
        <f t="shared" si="5"/>
        <v/>
      </c>
      <c r="H69" s="26" t="str">
        <f t="shared" si="6"/>
        <v/>
      </c>
      <c r="J69" s="93">
        <f t="shared" si="7"/>
        <v>0.34799999999999998</v>
      </c>
      <c r="T69" s="24" t="str">
        <f t="shared" si="9"/>
        <v/>
      </c>
      <c r="U69" s="78" t="str">
        <f t="shared" si="1"/>
        <v/>
      </c>
      <c r="V69" s="78" t="str">
        <f>IF($T69&gt;$F$9,"",PRODUCT($U$17:$U69))</f>
        <v/>
      </c>
      <c r="W69" s="78"/>
    </row>
    <row r="70" spans="1:23" ht="13.8">
      <c r="A70" s="99">
        <f t="shared" si="2"/>
        <v>1</v>
      </c>
      <c r="B70" s="96">
        <v>53</v>
      </c>
      <c r="C70" s="24" t="str">
        <f t="shared" si="3"/>
        <v/>
      </c>
      <c r="D70" s="25" t="str">
        <f t="shared" si="8"/>
        <v/>
      </c>
      <c r="E70" s="26" t="str">
        <f>IF($C70&lt;=$F$9,IF((H69+G70)&gt;(Калькулятор!$W$17),ROUNDUP((Калькулятор!$W$17)*A70,2),(H69+G70)),"")</f>
        <v/>
      </c>
      <c r="F70" s="26" t="str">
        <f t="shared" si="4"/>
        <v/>
      </c>
      <c r="G70" s="26" t="str">
        <f t="shared" si="5"/>
        <v/>
      </c>
      <c r="H70" s="26" t="str">
        <f t="shared" si="6"/>
        <v/>
      </c>
      <c r="J70" s="93">
        <f t="shared" si="7"/>
        <v>0.34799999999999998</v>
      </c>
      <c r="T70" s="24" t="str">
        <f t="shared" si="9"/>
        <v/>
      </c>
      <c r="U70" s="78" t="str">
        <f t="shared" si="1"/>
        <v/>
      </c>
      <c r="V70" s="78" t="str">
        <f>IF($T70&gt;$F$9,"",PRODUCT($U$17:$U70))</f>
        <v/>
      </c>
      <c r="W70" s="78"/>
    </row>
    <row r="71" spans="1:23" ht="13.8">
      <c r="A71" s="99">
        <f t="shared" si="2"/>
        <v>1</v>
      </c>
      <c r="B71" s="96">
        <v>54</v>
      </c>
      <c r="C71" s="24" t="str">
        <f t="shared" si="3"/>
        <v/>
      </c>
      <c r="D71" s="25" t="str">
        <f t="shared" si="8"/>
        <v/>
      </c>
      <c r="E71" s="26" t="str">
        <f>IF($C71&lt;=$F$9,IF((H70+G71)&gt;(Калькулятор!$W$17),ROUNDUP((Калькулятор!$W$17)*A71,2),(H70+G71)),"")</f>
        <v/>
      </c>
      <c r="F71" s="26" t="str">
        <f t="shared" si="4"/>
        <v/>
      </c>
      <c r="G71" s="26" t="str">
        <f t="shared" si="5"/>
        <v/>
      </c>
      <c r="H71" s="26" t="str">
        <f t="shared" si="6"/>
        <v/>
      </c>
      <c r="J71" s="93">
        <f t="shared" si="7"/>
        <v>0.34799999999999998</v>
      </c>
      <c r="T71" s="24" t="str">
        <f t="shared" si="9"/>
        <v/>
      </c>
      <c r="U71" s="78" t="str">
        <f t="shared" si="1"/>
        <v/>
      </c>
      <c r="V71" s="78" t="str">
        <f>IF($T71&gt;$F$9,"",PRODUCT($U$17:$U71))</f>
        <v/>
      </c>
      <c r="W71" s="78"/>
    </row>
    <row r="72" spans="1:23" ht="13.8">
      <c r="A72" s="99">
        <f t="shared" si="2"/>
        <v>1</v>
      </c>
      <c r="B72" s="96">
        <v>55</v>
      </c>
      <c r="C72" s="24" t="str">
        <f t="shared" si="3"/>
        <v/>
      </c>
      <c r="D72" s="25" t="str">
        <f t="shared" si="8"/>
        <v/>
      </c>
      <c r="E72" s="26" t="str">
        <f>IF($C72&lt;=$F$9,IF((H71+G72)&gt;(Калькулятор!$W$17),ROUNDUP((Калькулятор!$W$17)*A72,2),(H71+G72)),"")</f>
        <v/>
      </c>
      <c r="F72" s="26" t="str">
        <f t="shared" si="4"/>
        <v/>
      </c>
      <c r="G72" s="26" t="str">
        <f t="shared" si="5"/>
        <v/>
      </c>
      <c r="H72" s="26" t="str">
        <f t="shared" si="6"/>
        <v/>
      </c>
      <c r="J72" s="93">
        <f t="shared" si="7"/>
        <v>0.34799999999999998</v>
      </c>
      <c r="T72" s="24" t="str">
        <f t="shared" si="9"/>
        <v/>
      </c>
      <c r="U72" s="78" t="str">
        <f t="shared" si="1"/>
        <v/>
      </c>
      <c r="V72" s="78" t="str">
        <f>IF($T72&gt;$F$9,"",PRODUCT($U$17:$U72))</f>
        <v/>
      </c>
      <c r="W72" s="78"/>
    </row>
    <row r="73" spans="1:23" ht="13.8">
      <c r="A73" s="99">
        <f t="shared" si="2"/>
        <v>1</v>
      </c>
      <c r="B73" s="96">
        <v>56</v>
      </c>
      <c r="C73" s="24" t="str">
        <f t="shared" si="3"/>
        <v/>
      </c>
      <c r="D73" s="25" t="str">
        <f t="shared" si="8"/>
        <v/>
      </c>
      <c r="E73" s="26" t="str">
        <f>IF($C73&lt;=$F$9,IF((H72+G73)&gt;(Калькулятор!$W$17),ROUNDUP((Калькулятор!$W$17)*A73,2),(H72+G73)),"")</f>
        <v/>
      </c>
      <c r="F73" s="26" t="str">
        <f t="shared" si="4"/>
        <v/>
      </c>
      <c r="G73" s="26" t="str">
        <f t="shared" si="5"/>
        <v/>
      </c>
      <c r="H73" s="26" t="str">
        <f t="shared" si="6"/>
        <v/>
      </c>
      <c r="J73" s="93">
        <f t="shared" si="7"/>
        <v>0.34799999999999998</v>
      </c>
      <c r="T73" s="24" t="str">
        <f t="shared" si="9"/>
        <v/>
      </c>
      <c r="U73" s="78" t="str">
        <f t="shared" si="1"/>
        <v/>
      </c>
      <c r="V73" s="78" t="str">
        <f>IF($T73&gt;$F$9,"",PRODUCT($U$17:$U73))</f>
        <v/>
      </c>
      <c r="W73" s="78"/>
    </row>
    <row r="74" spans="1:23" ht="13.8">
      <c r="A74" s="99">
        <f t="shared" si="2"/>
        <v>1</v>
      </c>
      <c r="B74" s="96">
        <v>57</v>
      </c>
      <c r="C74" s="24" t="str">
        <f t="shared" si="3"/>
        <v/>
      </c>
      <c r="D74" s="25" t="str">
        <f t="shared" si="8"/>
        <v/>
      </c>
      <c r="E74" s="26" t="str">
        <f>IF($C74&lt;=$F$9,IF((H73+G74)&gt;(Калькулятор!$W$17),ROUNDUP((Калькулятор!$W$17)*A74,2),(H73+G74)),"")</f>
        <v/>
      </c>
      <c r="F74" s="26" t="str">
        <f t="shared" si="4"/>
        <v/>
      </c>
      <c r="G74" s="26" t="str">
        <f t="shared" si="5"/>
        <v/>
      </c>
      <c r="H74" s="26" t="str">
        <f t="shared" si="6"/>
        <v/>
      </c>
      <c r="J74" s="93">
        <f t="shared" si="7"/>
        <v>0.34799999999999998</v>
      </c>
      <c r="T74" s="24" t="str">
        <f t="shared" si="9"/>
        <v/>
      </c>
      <c r="U74" s="78" t="str">
        <f t="shared" si="1"/>
        <v/>
      </c>
      <c r="V74" s="78" t="str">
        <f>IF($T74&gt;$F$9,"",PRODUCT($U$17:$U74))</f>
        <v/>
      </c>
      <c r="W74" s="78"/>
    </row>
    <row r="75" spans="1:23" ht="13.8">
      <c r="A75" s="99">
        <f t="shared" si="2"/>
        <v>1</v>
      </c>
      <c r="B75" s="96">
        <v>58</v>
      </c>
      <c r="C75" s="24" t="str">
        <f t="shared" si="3"/>
        <v/>
      </c>
      <c r="D75" s="25" t="str">
        <f t="shared" si="8"/>
        <v/>
      </c>
      <c r="E75" s="26" t="str">
        <f>IF($C75&lt;=$F$9,IF((H74+G75)&gt;(Калькулятор!$W$17),ROUNDUP((Калькулятор!$W$17)*A75,2),(H74+G75)),"")</f>
        <v/>
      </c>
      <c r="F75" s="26" t="str">
        <f t="shared" si="4"/>
        <v/>
      </c>
      <c r="G75" s="26" t="str">
        <f t="shared" si="5"/>
        <v/>
      </c>
      <c r="H75" s="26" t="str">
        <f t="shared" si="6"/>
        <v/>
      </c>
      <c r="J75" s="93">
        <f t="shared" si="7"/>
        <v>0.34799999999999998</v>
      </c>
      <c r="T75" s="24" t="str">
        <f t="shared" si="9"/>
        <v/>
      </c>
      <c r="U75" s="78" t="str">
        <f t="shared" si="1"/>
        <v/>
      </c>
      <c r="V75" s="78" t="str">
        <f>IF($T75&gt;$F$9,"",PRODUCT($U$17:$U75))</f>
        <v/>
      </c>
      <c r="W75" s="78"/>
    </row>
    <row r="76" spans="1:23" ht="13.8">
      <c r="A76" s="99">
        <f t="shared" si="2"/>
        <v>1</v>
      </c>
      <c r="B76" s="96">
        <v>59</v>
      </c>
      <c r="C76" s="24" t="str">
        <f t="shared" si="3"/>
        <v/>
      </c>
      <c r="D76" s="25" t="str">
        <f t="shared" si="8"/>
        <v/>
      </c>
      <c r="E76" s="26" t="str">
        <f>IF($C76&lt;=$F$9,IF((H75+G76)&gt;(Калькулятор!$W$17),ROUNDUP((Калькулятор!$W$17)*A76,2),(H75+G76)),"")</f>
        <v/>
      </c>
      <c r="F76" s="26" t="str">
        <f t="shared" si="4"/>
        <v/>
      </c>
      <c r="G76" s="26" t="str">
        <f t="shared" si="5"/>
        <v/>
      </c>
      <c r="H76" s="26" t="str">
        <f t="shared" si="6"/>
        <v/>
      </c>
      <c r="J76" s="93">
        <f t="shared" si="7"/>
        <v>0.34799999999999998</v>
      </c>
      <c r="T76" s="24">
        <f t="shared" si="9"/>
        <v>0</v>
      </c>
      <c r="U76" s="78">
        <f t="shared" si="1"/>
        <v>1</v>
      </c>
      <c r="V76" s="78">
        <f>IF($T76&gt;$F$9,"",PRODUCT($U$17:$U76))</f>
        <v>0.36767312242785238</v>
      </c>
      <c r="W76" s="78"/>
    </row>
    <row r="77" spans="1:23" ht="13.8">
      <c r="A77" s="99">
        <f t="shared" si="2"/>
        <v>1</v>
      </c>
      <c r="B77" s="96">
        <v>60</v>
      </c>
      <c r="C77" s="24" t="str">
        <f t="shared" si="3"/>
        <v/>
      </c>
      <c r="D77" s="25" t="str">
        <f t="shared" si="8"/>
        <v/>
      </c>
      <c r="E77" s="26" t="str">
        <f>IF($C77&lt;=$F$9,IF((H76+G77)&gt;(Калькулятор!$W$17),ROUNDUP((Калькулятор!$W$17)*A77,2),(H76+G77)),"")</f>
        <v/>
      </c>
      <c r="F77" s="26" t="str">
        <f t="shared" si="4"/>
        <v/>
      </c>
      <c r="G77" s="26" t="str">
        <f t="shared" si="5"/>
        <v/>
      </c>
      <c r="H77" s="26" t="str">
        <f>IF($C77&lt;=$F$9,H76+G77-E77,"")</f>
        <v/>
      </c>
      <c r="J77" s="93">
        <f t="shared" si="7"/>
        <v>0.34799999999999998</v>
      </c>
      <c r="T77" s="24">
        <f t="shared" si="9"/>
        <v>0</v>
      </c>
      <c r="U77" s="78">
        <f t="shared" si="1"/>
        <v>1</v>
      </c>
      <c r="V77" s="78">
        <f>IF($T77&gt;$F$9,"",PRODUCT($U$17:$U77))</f>
        <v>0.36767312242785238</v>
      </c>
      <c r="W77" s="78"/>
    </row>
    <row r="78" spans="1:23" ht="13.8">
      <c r="A78" s="88"/>
      <c r="B78" s="19"/>
      <c r="C78" s="24"/>
      <c r="D78" s="25"/>
      <c r="E78" s="26"/>
      <c r="F78" s="26"/>
      <c r="G78" s="26"/>
      <c r="H78" s="26"/>
      <c r="I78" s="26"/>
      <c r="J78" s="77"/>
      <c r="T78" s="24">
        <f t="shared" si="9"/>
        <v>0</v>
      </c>
      <c r="U78" s="78">
        <f t="shared" si="1"/>
        <v>1</v>
      </c>
      <c r="V78" s="78">
        <f>IF($T78&gt;$F$9,"",PRODUCT($U$17:$U78))</f>
        <v>0.36767312242785238</v>
      </c>
      <c r="W78" s="78"/>
    </row>
    <row r="79" spans="1:23" ht="13.8">
      <c r="A79" s="88"/>
      <c r="B79" s="19"/>
      <c r="C79" s="24"/>
      <c r="D79" s="25"/>
      <c r="E79" s="26"/>
      <c r="F79" s="26"/>
      <c r="G79" s="26"/>
      <c r="H79" s="26"/>
      <c r="I79" s="26"/>
      <c r="J79" s="77"/>
      <c r="T79" s="24">
        <f t="shared" si="9"/>
        <v>0</v>
      </c>
      <c r="U79" s="78">
        <f t="shared" si="1"/>
        <v>1</v>
      </c>
      <c r="V79" s="78">
        <f>IF($T79&gt;$F$9,"",PRODUCT($U$17:$U79))</f>
        <v>0.36767312242785238</v>
      </c>
      <c r="W79" s="78"/>
    </row>
    <row r="80" spans="1:23" ht="13.8">
      <c r="A80" s="88"/>
      <c r="B80" s="19"/>
      <c r="C80" s="24"/>
      <c r="D80" s="25"/>
      <c r="E80" s="26"/>
      <c r="F80" s="26"/>
      <c r="G80" s="26"/>
      <c r="H80" s="26"/>
      <c r="I80" s="26"/>
      <c r="J80" s="77"/>
      <c r="T80" s="24">
        <f t="shared" ref="T80:T99" si="10">IF($B82&lt;=$F$9,B82,"")</f>
        <v>0</v>
      </c>
      <c r="U80" s="78">
        <f t="shared" si="1"/>
        <v>1</v>
      </c>
      <c r="V80" s="78">
        <f>IF($T80&gt;$F$9,"",PRODUCT($U$17:$U80))</f>
        <v>0.36767312242785238</v>
      </c>
      <c r="W80" s="78"/>
    </row>
    <row r="81" spans="1:23" ht="13.8">
      <c r="A81" s="88"/>
      <c r="B81" s="19"/>
      <c r="C81" s="24"/>
      <c r="D81" s="25"/>
      <c r="E81" s="26"/>
      <c r="F81" s="26"/>
      <c r="G81" s="26"/>
      <c r="H81" s="26"/>
      <c r="I81" s="26"/>
      <c r="J81" s="77"/>
      <c r="T81" s="24">
        <f t="shared" si="10"/>
        <v>0</v>
      </c>
      <c r="U81" s="78">
        <f t="shared" si="1"/>
        <v>1</v>
      </c>
      <c r="V81" s="78">
        <f>IF($T81&gt;$F$9,"",PRODUCT($U$17:$U81))</f>
        <v>0.36767312242785238</v>
      </c>
      <c r="W81" s="78"/>
    </row>
    <row r="82" spans="1:23" ht="13.8">
      <c r="A82" s="88"/>
      <c r="B82" s="19"/>
      <c r="C82" s="24"/>
      <c r="D82" s="25"/>
      <c r="E82" s="26"/>
      <c r="F82" s="26"/>
      <c r="G82" s="26"/>
      <c r="H82" s="26"/>
      <c r="I82" s="26"/>
      <c r="J82" s="77"/>
      <c r="T82" s="24">
        <f t="shared" si="10"/>
        <v>0</v>
      </c>
      <c r="U82" s="78">
        <f t="shared" ref="U82:U99" si="11">IF(T82&gt;$F$9,"",1/(1+J84/12))</f>
        <v>1</v>
      </c>
      <c r="V82" s="78">
        <f>IF($T82&gt;$F$9,"",PRODUCT($U$17:$U82))</f>
        <v>0.36767312242785238</v>
      </c>
      <c r="W82" s="78"/>
    </row>
    <row r="83" spans="1:23" ht="13.8">
      <c r="A83" s="88"/>
      <c r="B83" s="19"/>
      <c r="C83" s="24"/>
      <c r="D83" s="25"/>
      <c r="E83" s="26"/>
      <c r="F83" s="26"/>
      <c r="G83" s="26"/>
      <c r="H83" s="26"/>
      <c r="I83" s="26"/>
      <c r="J83" s="77"/>
      <c r="T83" s="24">
        <f t="shared" si="10"/>
        <v>0</v>
      </c>
      <c r="U83" s="78">
        <f t="shared" si="11"/>
        <v>1</v>
      </c>
      <c r="V83" s="78">
        <f>IF($T83&gt;$F$9,"",PRODUCT($U$17:$U83))</f>
        <v>0.36767312242785238</v>
      </c>
      <c r="W83" s="78"/>
    </row>
    <row r="84" spans="1:23" ht="13.8">
      <c r="A84" s="88"/>
      <c r="B84" s="19"/>
      <c r="C84" s="24"/>
      <c r="D84" s="25"/>
      <c r="E84" s="26"/>
      <c r="F84" s="26"/>
      <c r="G84" s="26"/>
      <c r="H84" s="26"/>
      <c r="I84" s="26"/>
      <c r="J84" s="77"/>
      <c r="T84" s="24">
        <f t="shared" si="10"/>
        <v>0</v>
      </c>
      <c r="U84" s="78">
        <f t="shared" si="11"/>
        <v>1</v>
      </c>
      <c r="V84" s="78">
        <f>IF($T84&gt;$F$9,"",PRODUCT($U$17:$U84))</f>
        <v>0.36767312242785238</v>
      </c>
      <c r="W84" s="78"/>
    </row>
    <row r="85" spans="1:23" ht="13.8">
      <c r="A85" s="88"/>
      <c r="B85" s="19"/>
      <c r="C85" s="24"/>
      <c r="D85" s="25"/>
      <c r="E85" s="26"/>
      <c r="F85" s="26"/>
      <c r="G85" s="26"/>
      <c r="H85" s="26"/>
      <c r="I85" s="26"/>
      <c r="J85" s="77"/>
      <c r="T85" s="24">
        <f t="shared" si="10"/>
        <v>0</v>
      </c>
      <c r="U85" s="78">
        <f t="shared" si="11"/>
        <v>1</v>
      </c>
      <c r="V85" s="78">
        <f>IF($T85&gt;$F$9,"",PRODUCT($U$17:$U85))</f>
        <v>0.36767312242785238</v>
      </c>
      <c r="W85" s="78"/>
    </row>
    <row r="86" spans="1:23" ht="13.8">
      <c r="A86" s="88"/>
      <c r="B86" s="19"/>
      <c r="C86" s="24"/>
      <c r="D86" s="25"/>
      <c r="E86" s="26"/>
      <c r="F86" s="26"/>
      <c r="G86" s="26"/>
      <c r="H86" s="26"/>
      <c r="I86" s="26"/>
      <c r="J86" s="77"/>
      <c r="T86" s="24">
        <f t="shared" si="10"/>
        <v>0</v>
      </c>
      <c r="U86" s="78">
        <f t="shared" si="11"/>
        <v>1</v>
      </c>
      <c r="V86" s="78">
        <f>IF($T86&gt;$F$9,"",PRODUCT($U$17:$U86))</f>
        <v>0.36767312242785238</v>
      </c>
      <c r="W86" s="78"/>
    </row>
    <row r="87" spans="1:23" ht="13.8">
      <c r="A87" s="88"/>
      <c r="B87" s="19"/>
      <c r="C87" s="24"/>
      <c r="D87" s="25"/>
      <c r="E87" s="26"/>
      <c r="F87" s="26"/>
      <c r="G87" s="26"/>
      <c r="H87" s="26"/>
      <c r="I87" s="26"/>
      <c r="J87" s="77"/>
      <c r="T87" s="24">
        <f t="shared" si="10"/>
        <v>0</v>
      </c>
      <c r="U87" s="78">
        <f t="shared" si="11"/>
        <v>1</v>
      </c>
      <c r="V87" s="78">
        <f>IF($T87&gt;$F$9,"",PRODUCT($U$17:$U87))</f>
        <v>0.36767312242785238</v>
      </c>
      <c r="W87" s="78"/>
    </row>
    <row r="88" spans="1:23" ht="13.8">
      <c r="A88" s="88"/>
      <c r="B88" s="19"/>
      <c r="C88" s="24"/>
      <c r="D88" s="25"/>
      <c r="E88" s="26"/>
      <c r="F88" s="26"/>
      <c r="G88" s="26"/>
      <c r="H88" s="26"/>
      <c r="I88" s="26"/>
      <c r="J88" s="77"/>
      <c r="T88" s="24">
        <f t="shared" si="10"/>
        <v>0</v>
      </c>
      <c r="U88" s="78">
        <f t="shared" si="11"/>
        <v>1</v>
      </c>
      <c r="V88" s="78">
        <f>IF($T88&gt;$F$9,"",PRODUCT($U$17:$U88))</f>
        <v>0.36767312242785238</v>
      </c>
      <c r="W88" s="78"/>
    </row>
    <row r="89" spans="1:23" ht="13.8">
      <c r="A89" s="88"/>
      <c r="B89" s="19"/>
      <c r="C89" s="24"/>
      <c r="D89" s="25"/>
      <c r="E89" s="26"/>
      <c r="F89" s="26"/>
      <c r="G89" s="26"/>
      <c r="H89" s="26"/>
      <c r="I89" s="26"/>
      <c r="J89" s="77"/>
      <c r="T89" s="24">
        <f t="shared" si="10"/>
        <v>0</v>
      </c>
      <c r="U89" s="78">
        <f t="shared" si="11"/>
        <v>1</v>
      </c>
      <c r="V89" s="78">
        <f>IF($T89&gt;$F$9,"",PRODUCT($U$17:$U89))</f>
        <v>0.36767312242785238</v>
      </c>
      <c r="W89" s="78"/>
    </row>
    <row r="90" spans="1:23" ht="13.8">
      <c r="A90" s="88"/>
      <c r="B90" s="19"/>
      <c r="C90" s="24"/>
      <c r="D90" s="25"/>
      <c r="E90" s="26"/>
      <c r="F90" s="26"/>
      <c r="G90" s="26"/>
      <c r="H90" s="26"/>
      <c r="I90" s="26"/>
      <c r="J90" s="77"/>
      <c r="T90" s="24">
        <f t="shared" si="10"/>
        <v>0</v>
      </c>
      <c r="U90" s="78">
        <f t="shared" si="11"/>
        <v>1</v>
      </c>
      <c r="V90" s="78">
        <f>IF($T90&gt;$F$9,"",PRODUCT($U$17:$U90))</f>
        <v>0.36767312242785238</v>
      </c>
      <c r="W90" s="78"/>
    </row>
    <row r="91" spans="1:23" ht="13.8">
      <c r="A91" s="88"/>
      <c r="B91" s="19"/>
      <c r="C91" s="24"/>
      <c r="D91" s="25"/>
      <c r="E91" s="26"/>
      <c r="F91" s="26"/>
      <c r="G91" s="26"/>
      <c r="H91" s="26"/>
      <c r="I91" s="26"/>
      <c r="J91" s="77"/>
      <c r="T91" s="24">
        <f t="shared" si="10"/>
        <v>0</v>
      </c>
      <c r="U91" s="78">
        <f t="shared" si="11"/>
        <v>1</v>
      </c>
      <c r="V91" s="78">
        <f>IF($T91&gt;$F$9,"",PRODUCT($U$17:$U91))</f>
        <v>0.36767312242785238</v>
      </c>
      <c r="W91" s="78"/>
    </row>
    <row r="92" spans="1:23" ht="13.8">
      <c r="A92" s="88"/>
      <c r="B92" s="19"/>
      <c r="C92" s="24"/>
      <c r="D92" s="25"/>
      <c r="E92" s="26"/>
      <c r="F92" s="26"/>
      <c r="G92" s="26"/>
      <c r="H92" s="26"/>
      <c r="I92" s="26"/>
      <c r="J92" s="77"/>
      <c r="T92" s="24">
        <f t="shared" si="10"/>
        <v>0</v>
      </c>
      <c r="U92" s="78">
        <f t="shared" si="11"/>
        <v>1</v>
      </c>
      <c r="V92" s="78">
        <f>IF($T92&gt;$F$9,"",PRODUCT($U$17:$U92))</f>
        <v>0.36767312242785238</v>
      </c>
      <c r="W92" s="78"/>
    </row>
    <row r="93" spans="1:23" ht="13.8">
      <c r="A93" s="88"/>
      <c r="B93" s="19"/>
      <c r="C93" s="24"/>
      <c r="D93" s="25"/>
      <c r="E93" s="26"/>
      <c r="F93" s="26"/>
      <c r="G93" s="26"/>
      <c r="H93" s="26"/>
      <c r="I93" s="26"/>
      <c r="J93" s="77"/>
      <c r="T93" s="24">
        <f t="shared" si="10"/>
        <v>0</v>
      </c>
      <c r="U93" s="78">
        <f t="shared" si="11"/>
        <v>1</v>
      </c>
      <c r="V93" s="78">
        <f>IF($T93&gt;$F$9,"",PRODUCT($U$17:$U93))</f>
        <v>0.36767312242785238</v>
      </c>
      <c r="W93" s="78"/>
    </row>
    <row r="94" spans="1:23" ht="13.8">
      <c r="A94" s="88"/>
      <c r="B94" s="19"/>
      <c r="C94" s="24"/>
      <c r="D94" s="25"/>
      <c r="E94" s="26"/>
      <c r="F94" s="26"/>
      <c r="G94" s="26"/>
      <c r="H94" s="26"/>
      <c r="I94" s="26"/>
      <c r="J94" s="77"/>
      <c r="T94" s="24">
        <f t="shared" si="10"/>
        <v>0</v>
      </c>
      <c r="U94" s="78">
        <f t="shared" si="11"/>
        <v>1</v>
      </c>
      <c r="V94" s="78">
        <f>IF($T94&gt;$F$9,"",PRODUCT($U$17:$U94))</f>
        <v>0.36767312242785238</v>
      </c>
      <c r="W94" s="78"/>
    </row>
    <row r="95" spans="1:23" ht="13.8">
      <c r="A95" s="88"/>
      <c r="B95" s="19"/>
      <c r="C95" s="24"/>
      <c r="D95" s="25"/>
      <c r="E95" s="26"/>
      <c r="F95" s="26"/>
      <c r="G95" s="26"/>
      <c r="H95" s="26"/>
      <c r="I95" s="26"/>
      <c r="J95" s="77"/>
      <c r="T95" s="24">
        <f t="shared" si="10"/>
        <v>0</v>
      </c>
      <c r="U95" s="78">
        <f t="shared" si="11"/>
        <v>1</v>
      </c>
      <c r="V95" s="78">
        <f>IF($T95&gt;$F$9,"",PRODUCT($U$17:$U95))</f>
        <v>0.36767312242785238</v>
      </c>
      <c r="W95" s="78"/>
    </row>
    <row r="96" spans="1:23" ht="13.8">
      <c r="A96" s="88"/>
      <c r="B96" s="19"/>
      <c r="C96" s="24"/>
      <c r="D96" s="25"/>
      <c r="E96" s="26"/>
      <c r="F96" s="26"/>
      <c r="G96" s="26"/>
      <c r="H96" s="26"/>
      <c r="I96" s="26"/>
      <c r="J96" s="77"/>
      <c r="T96" s="24">
        <f t="shared" si="10"/>
        <v>0</v>
      </c>
      <c r="U96" s="78">
        <f t="shared" si="11"/>
        <v>1</v>
      </c>
      <c r="V96" s="78">
        <f>IF($T96&gt;$F$9,"",PRODUCT($U$17:$U96))</f>
        <v>0.36767312242785238</v>
      </c>
      <c r="W96" s="78"/>
    </row>
    <row r="97" spans="1:23" ht="13.8">
      <c r="A97" s="88"/>
      <c r="B97" s="19"/>
      <c r="C97" s="24"/>
      <c r="D97" s="25"/>
      <c r="E97" s="26"/>
      <c r="F97" s="26"/>
      <c r="G97" s="26"/>
      <c r="H97" s="26"/>
      <c r="I97" s="26"/>
      <c r="J97" s="77"/>
      <c r="T97" s="24">
        <f t="shared" si="10"/>
        <v>0</v>
      </c>
      <c r="U97" s="78">
        <f t="shared" si="11"/>
        <v>1</v>
      </c>
      <c r="V97" s="78">
        <f>IF($T97&gt;$F$9,"",PRODUCT($U$17:$U97))</f>
        <v>0.36767312242785238</v>
      </c>
      <c r="W97" s="78"/>
    </row>
    <row r="98" spans="1:23" ht="13.8">
      <c r="A98" s="88"/>
      <c r="B98" s="19"/>
      <c r="C98" s="24"/>
      <c r="D98" s="25"/>
      <c r="E98" s="26"/>
      <c r="F98" s="26"/>
      <c r="G98" s="26"/>
      <c r="H98" s="26"/>
      <c r="I98" s="26"/>
      <c r="J98" s="77"/>
      <c r="T98" s="24">
        <f t="shared" si="10"/>
        <v>0</v>
      </c>
      <c r="U98" s="78">
        <f t="shared" si="11"/>
        <v>1</v>
      </c>
      <c r="V98" s="78">
        <f>IF($T98&gt;$F$9,"",PRODUCT($U$17:$U98))</f>
        <v>0.36767312242785238</v>
      </c>
      <c r="W98" s="78"/>
    </row>
    <row r="99" spans="1:23" ht="13.8">
      <c r="A99" s="88"/>
      <c r="B99" s="19"/>
      <c r="C99" s="24"/>
      <c r="D99" s="25"/>
      <c r="E99" s="26"/>
      <c r="F99" s="26"/>
      <c r="G99" s="26"/>
      <c r="H99" s="26"/>
      <c r="I99" s="26"/>
      <c r="J99" s="77"/>
      <c r="T99" s="24">
        <f t="shared" si="10"/>
        <v>0</v>
      </c>
      <c r="U99" s="78">
        <f t="shared" si="11"/>
        <v>1</v>
      </c>
      <c r="V99" s="78">
        <f>IF($T99&gt;$F$9,"",PRODUCT($U$17:$U99))</f>
        <v>0.36767312242785238</v>
      </c>
      <c r="W99" s="78"/>
    </row>
    <row r="100" spans="1:23" ht="13.8">
      <c r="B100" s="19"/>
      <c r="C100" s="24"/>
      <c r="D100" s="25"/>
      <c r="E100" s="26"/>
      <c r="F100" s="26"/>
      <c r="G100" s="26"/>
      <c r="H100" s="26"/>
      <c r="I100" s="26"/>
    </row>
    <row r="101" spans="1:23" ht="13.8">
      <c r="B101" s="19"/>
      <c r="C101" s="24"/>
      <c r="D101" s="25"/>
      <c r="E101" s="26"/>
      <c r="F101" s="26"/>
      <c r="G101" s="26"/>
      <c r="H101" s="26"/>
      <c r="I101" s="26"/>
    </row>
  </sheetData>
  <sheetProtection algorithmName="SHA-512" hashValue="Oqt2PyPFVpNE5/BD+2+g+nnD39Vip4MrnXhetW8JU8DAw3gndXAfxj4opovsUFigMvmODpX7qTmHfgr5preZRQ==" saltValue="LYqOB9TNnOVhztMA+Cf1Fw==" spinCount="100000" sheet="1" selectLockedCells="1"/>
  <protectedRanges>
    <protectedRange sqref="F8:F10" name="Диапазон1_2"/>
    <protectedRange sqref="K7" name="Диапазон5"/>
  </protectedRanges>
  <customSheetViews>
    <customSheetView guid="{E07207AA-C3D8-48F1-8681-AD90196968B3}" showPageBreaks="1" showGridLines="0" fitToPage="1" printArea="1" view="pageBreakPreview" topLeftCell="A4">
      <selection activeCell="I17" sqref="I17"/>
      <pageMargins left="0.74803149606299213" right="0.74803149606299213" top="0.98425196850393704" bottom="0.98425196850393704" header="0.51181102362204722" footer="0.51181102362204722"/>
      <pageSetup paperSize="9" scale="42" orientation="landscape" r:id="rId1"/>
      <headerFooter alignWithMargins="0"/>
    </customSheetView>
  </customSheetViews>
  <mergeCells count="19">
    <mergeCell ref="Q5:Q6"/>
    <mergeCell ref="R5:R6"/>
    <mergeCell ref="L5:L6"/>
    <mergeCell ref="O5:O6"/>
    <mergeCell ref="C5:G6"/>
    <mergeCell ref="M5:M6"/>
    <mergeCell ref="N5:N6"/>
    <mergeCell ref="F1:H3"/>
    <mergeCell ref="P5:P6"/>
    <mergeCell ref="C7:E7"/>
    <mergeCell ref="C8:E8"/>
    <mergeCell ref="C9:E9"/>
    <mergeCell ref="C11:E11"/>
    <mergeCell ref="F7:G7"/>
    <mergeCell ref="C15:E15"/>
    <mergeCell ref="C13:E13"/>
    <mergeCell ref="C14:E14"/>
    <mergeCell ref="C10:E10"/>
    <mergeCell ref="C12:E12"/>
  </mergeCells>
  <phoneticPr fontId="3" type="noConversion"/>
  <conditionalFormatting sqref="C18:C101">
    <cfRule type="notContainsBlanks" dxfId="8" priority="45">
      <formula>LEN(TRIM(C18))&gt;0</formula>
    </cfRule>
  </conditionalFormatting>
  <conditionalFormatting sqref="D18:D101">
    <cfRule type="notContainsBlanks" dxfId="7" priority="43">
      <formula>LEN(TRIM(D18))&gt;0</formula>
    </cfRule>
  </conditionalFormatting>
  <conditionalFormatting sqref="E18:E101">
    <cfRule type="notContainsBlanks" dxfId="6" priority="44">
      <formula>LEN(TRIM(E18))&gt;0</formula>
    </cfRule>
  </conditionalFormatting>
  <conditionalFormatting sqref="F18:F101">
    <cfRule type="notContainsBlanks" dxfId="5" priority="7">
      <formula>LEN(TRIM(F18))&gt;0</formula>
    </cfRule>
  </conditionalFormatting>
  <conditionalFormatting sqref="G18:G101">
    <cfRule type="notContainsBlanks" dxfId="4" priority="6">
      <formula>LEN(TRIM(G18))&gt;0</formula>
    </cfRule>
  </conditionalFormatting>
  <conditionalFormatting sqref="H18:H101">
    <cfRule type="notContainsBlanks" dxfId="3" priority="5">
      <formula>LEN(TRIM(H18))&gt;0</formula>
    </cfRule>
  </conditionalFormatting>
  <conditionalFormatting sqref="I78:I101">
    <cfRule type="notContainsBlanks" dxfId="2" priority="4">
      <formula>LEN(TRIM(I78))&gt;0</formula>
    </cfRule>
  </conditionalFormatting>
  <conditionalFormatting sqref="T16:T99">
    <cfRule type="notContainsBlanks" dxfId="1" priority="1">
      <formula>LEN(TRIM(T16))&gt;0</formula>
    </cfRule>
  </conditionalFormatting>
  <dataValidations count="1">
    <dataValidation type="list" allowBlank="1" showInputMessage="1" showErrorMessage="1" sqref="F7:G7">
      <formula1>Список_продуктов</formula1>
    </dataValidation>
  </dataValidations>
  <pageMargins left="0.74803149606299213" right="0.74803149606299213" top="0.98425196850393704" bottom="0.98425196850393704" header="0.51181102362204722" footer="0.51181102362204722"/>
  <pageSetup paperSize="9" scale="35" orientation="portrait" r:id="rId2"/>
  <headerFooter alignWithMargins="0"/>
  <drawing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31" operator="containsText" id="{8BBC5B70-DD96-49C0-A930-88B53A4BC1CD}">
            <xm:f>NOT(ISERROR(SEARCH(#REF!,F1)))</xm:f>
            <xm:f>#REF!</xm:f>
            <x14:dxf>
              <font>
                <color theme="0"/>
              </font>
              <fill>
                <patternFill>
                  <bgColor rgb="FFFF0000"/>
                </patternFill>
              </fill>
            </x14:dxf>
          </x14:cfRule>
          <xm:sqref>F1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2">
        <x14:dataValidation type="whole" showInputMessage="1" showErrorMessage="1" errorTitle="Ошибка" error="Термін кредиту повинен бути від 24 до 60 міс">
          <x14:formula1>
            <xm:f>Продукти!L3</xm:f>
          </x14:formula1>
          <x14:formula2>
            <xm:f>Продукти!M3</xm:f>
          </x14:formula2>
          <xm:sqref>F9</xm:sqref>
        </x14:dataValidation>
        <x14:dataValidation type="decimal" allowBlank="1" showInputMessage="1" showErrorMessage="1" errorTitle="Ошибка" error="Сума кредиту повинна бути від 10 до 200 тис грн">
          <x14:formula1>
            <xm:f>Продукти!I3</xm:f>
          </x14:formula1>
          <x14:formula2>
            <xm:f>Продукти!J3</xm:f>
          </x14:formula2>
          <xm:sqref>F8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tabColor rgb="FFFD370F"/>
    <pageSetUpPr fitToPage="1"/>
  </sheetPr>
  <dimension ref="A1:W30"/>
  <sheetViews>
    <sheetView zoomScale="85" zoomScaleNormal="85" workbookViewId="0">
      <pane xSplit="2" topLeftCell="C1" activePane="topRight" state="frozen"/>
      <selection pane="topRight" activeCell="L2" sqref="L2"/>
    </sheetView>
  </sheetViews>
  <sheetFormatPr defaultColWidth="9.109375" defaultRowHeight="13.8"/>
  <cols>
    <col min="1" max="1" width="3.88671875" style="7" customWidth="1"/>
    <col min="2" max="2" width="41.109375" style="7" bestFit="1" customWidth="1"/>
    <col min="3" max="3" width="9.5546875" style="7" customWidth="1"/>
    <col min="4" max="5" width="9.88671875" style="7" customWidth="1"/>
    <col min="6" max="6" width="9.109375" style="7" customWidth="1"/>
    <col min="7" max="7" width="9.6640625" style="7" customWidth="1"/>
    <col min="8" max="8" width="9.109375" style="7" customWidth="1"/>
    <col min="9" max="9" width="12.6640625" style="7" customWidth="1"/>
    <col min="10" max="10" width="13.33203125" style="7" customWidth="1"/>
    <col min="11" max="11" width="18.109375" style="12" customWidth="1"/>
    <col min="12" max="12" width="8.44140625" style="7" customWidth="1"/>
    <col min="13" max="13" width="9.109375" style="7" customWidth="1"/>
    <col min="14" max="14" width="12.88671875" style="7" customWidth="1"/>
    <col min="15" max="17" width="9.109375" style="7" hidden="1" customWidth="1"/>
    <col min="18" max="18" width="61.44140625" style="7" hidden="1" customWidth="1"/>
    <col min="19" max="19" width="10.44140625" style="7" hidden="1" customWidth="1"/>
    <col min="20" max="20" width="15.6640625" style="7" hidden="1" customWidth="1"/>
    <col min="21" max="21" width="0" style="8" hidden="1" customWidth="1"/>
    <col min="22" max="22" width="0" style="7" hidden="1" customWidth="1"/>
    <col min="23" max="23" width="10" style="7" hidden="1" customWidth="1"/>
    <col min="24" max="16384" width="9.109375" style="7"/>
  </cols>
  <sheetData>
    <row r="1" spans="1:23" s="10" customFormat="1" ht="42" thickBot="1">
      <c r="A1" s="56" t="s">
        <v>18</v>
      </c>
      <c r="B1" s="57" t="s">
        <v>19</v>
      </c>
      <c r="C1" s="57" t="s">
        <v>20</v>
      </c>
      <c r="D1" s="58" t="s">
        <v>21</v>
      </c>
      <c r="E1" s="59" t="s">
        <v>22</v>
      </c>
      <c r="F1" s="59" t="s">
        <v>23</v>
      </c>
      <c r="G1" s="59" t="s">
        <v>24</v>
      </c>
      <c r="H1" s="60" t="s">
        <v>25</v>
      </c>
      <c r="I1" s="61" t="s">
        <v>26</v>
      </c>
      <c r="J1" s="57" t="s">
        <v>27</v>
      </c>
      <c r="K1" s="62" t="s">
        <v>28</v>
      </c>
      <c r="L1" s="61" t="s">
        <v>29</v>
      </c>
      <c r="M1" s="57" t="s">
        <v>30</v>
      </c>
      <c r="N1" s="63" t="s">
        <v>31</v>
      </c>
      <c r="O1" s="64" t="s">
        <v>2</v>
      </c>
      <c r="P1" s="65" t="s">
        <v>32</v>
      </c>
      <c r="Q1" s="66" t="s">
        <v>33</v>
      </c>
      <c r="R1" s="67" t="s">
        <v>34</v>
      </c>
      <c r="S1" s="68" t="s">
        <v>35</v>
      </c>
      <c r="T1" s="69" t="s">
        <v>36</v>
      </c>
      <c r="U1" s="70" t="s">
        <v>37</v>
      </c>
      <c r="V1" s="71" t="s">
        <v>38</v>
      </c>
      <c r="W1" s="72">
        <f>Maxamount</f>
        <v>200000</v>
      </c>
    </row>
    <row r="2" spans="1:23" ht="15" thickTop="1" thickBot="1">
      <c r="A2" s="38">
        <v>1</v>
      </c>
      <c r="B2" s="79" t="str">
        <f>Калькулятор!L7</f>
        <v>Кращ на Гроші</v>
      </c>
      <c r="C2" s="39">
        <v>1</v>
      </c>
      <c r="D2" s="40">
        <v>0</v>
      </c>
      <c r="E2" s="41">
        <v>1E-4</v>
      </c>
      <c r="F2" s="42">
        <v>0.34799999999999998</v>
      </c>
      <c r="G2" s="42">
        <v>0</v>
      </c>
      <c r="H2" s="43">
        <v>0</v>
      </c>
      <c r="I2" s="44">
        <v>10000</v>
      </c>
      <c r="J2" s="45">
        <v>200000</v>
      </c>
      <c r="K2" s="46" t="str">
        <f t="shared" ref="K2" si="0">I2&amp;" "&amp;"-"&amp;" "&amp;J2</f>
        <v>10000 - 200000</v>
      </c>
      <c r="L2" s="47">
        <v>24</v>
      </c>
      <c r="M2" s="48">
        <v>60</v>
      </c>
      <c r="N2" s="49" t="str">
        <f t="shared" ref="N2" si="1">L2&amp;" "&amp;"-"&amp;" "&amp;M2</f>
        <v>24 - 60</v>
      </c>
      <c r="O2" s="50">
        <v>0</v>
      </c>
      <c r="P2" s="51">
        <v>23</v>
      </c>
      <c r="Q2" s="48">
        <v>69</v>
      </c>
      <c r="R2" s="52" t="str">
        <f t="shared" ref="R2" si="2">"вік "&amp;P2&amp;" - "&amp;Q2&amp;" (Для з/п клієнтів з 23 років, для інших - з 25)"</f>
        <v>вік 23 - 69 (Для з/п клієнтів з 23 років, для інших - з 25)</v>
      </c>
      <c r="S2" s="47" t="str">
        <f t="shared" ref="S2" si="3">"6 міс. (для ФОП 24 міс)"</f>
        <v>6 міс. (для ФОП 24 міс)</v>
      </c>
      <c r="T2" s="48">
        <f>IF(Maxamount&lt;=50000,6500,8000)</f>
        <v>8000</v>
      </c>
      <c r="U2" s="53" t="s">
        <v>39</v>
      </c>
      <c r="V2" s="54" t="s">
        <v>17</v>
      </c>
    </row>
    <row r="3" spans="1:23" s="8" customFormat="1" ht="14.4" thickTop="1">
      <c r="A3" s="55"/>
      <c r="B3" s="74" t="str">
        <f>Калькулятор!F7</f>
        <v>Кращ на Гроші</v>
      </c>
      <c r="C3" s="55">
        <f>VLOOKUP($B$3,$B$2:$V$2,COLUMN()-1,0)</f>
        <v>1</v>
      </c>
      <c r="D3" s="75">
        <f>VLOOKUP($B$3,$B$2:$V$2,COLUMN()-1,0)</f>
        <v>0</v>
      </c>
      <c r="E3" s="73"/>
      <c r="F3" s="75">
        <f t="shared" ref="F3:N3" si="4">VLOOKUP($B$3,$B$2:$V$2,COLUMN()-1,0)</f>
        <v>0.34799999999999998</v>
      </c>
      <c r="G3" s="75">
        <f t="shared" si="4"/>
        <v>0</v>
      </c>
      <c r="H3" s="75">
        <f t="shared" si="4"/>
        <v>0</v>
      </c>
      <c r="I3" s="76">
        <f t="shared" si="4"/>
        <v>10000</v>
      </c>
      <c r="J3" s="76">
        <f t="shared" si="4"/>
        <v>200000</v>
      </c>
      <c r="K3" s="76" t="str">
        <f t="shared" si="4"/>
        <v>10000 - 200000</v>
      </c>
      <c r="L3" s="55">
        <f t="shared" si="4"/>
        <v>24</v>
      </c>
      <c r="M3" s="55">
        <f t="shared" si="4"/>
        <v>60</v>
      </c>
      <c r="N3" s="55" t="str">
        <f t="shared" si="4"/>
        <v>24 - 60</v>
      </c>
      <c r="O3" s="55"/>
      <c r="P3" s="55">
        <f t="shared" ref="P3:V3" si="5">VLOOKUP($B$3,$B$2:$V$2,COLUMN()-1,0)</f>
        <v>23</v>
      </c>
      <c r="Q3" s="55">
        <f t="shared" si="5"/>
        <v>69</v>
      </c>
      <c r="R3" s="55" t="str">
        <f t="shared" si="5"/>
        <v>вік 23 - 69 (Для з/п клієнтів з 23 років, для інших - з 25)</v>
      </c>
      <c r="S3" s="55" t="str">
        <f t="shared" si="5"/>
        <v>6 міс. (для ФОП 24 міс)</v>
      </c>
      <c r="T3" s="55">
        <f t="shared" si="5"/>
        <v>8000</v>
      </c>
      <c r="U3" s="55" t="str">
        <f t="shared" si="5"/>
        <v>big</v>
      </c>
      <c r="V3" s="55" t="str">
        <f t="shared" si="5"/>
        <v>Standart</v>
      </c>
    </row>
    <row r="4" spans="1:23" s="8" customFormat="1">
      <c r="A4"/>
      <c r="B4"/>
      <c r="C4"/>
      <c r="D4"/>
      <c r="K4" s="11"/>
    </row>
    <row r="5" spans="1:23" s="8" customFormat="1">
      <c r="A5"/>
      <c r="B5"/>
      <c r="C5"/>
      <c r="D5"/>
      <c r="K5" s="11"/>
    </row>
    <row r="6" spans="1:23" s="8" customFormat="1">
      <c r="A6"/>
      <c r="B6"/>
      <c r="C6"/>
      <c r="D6"/>
      <c r="K6" s="11"/>
    </row>
    <row r="7" spans="1:23" s="8" customFormat="1">
      <c r="A7"/>
      <c r="B7"/>
      <c r="C7"/>
      <c r="D7"/>
      <c r="K7" s="11"/>
    </row>
    <row r="8" spans="1:23" s="8" customFormat="1">
      <c r="A8"/>
      <c r="B8"/>
      <c r="C8"/>
      <c r="D8"/>
      <c r="K8" s="11"/>
    </row>
    <row r="9" spans="1:23" s="8" customFormat="1">
      <c r="A9"/>
      <c r="B9"/>
      <c r="C9"/>
      <c r="D9"/>
      <c r="K9" s="11"/>
    </row>
    <row r="10" spans="1:23" s="8" customFormat="1">
      <c r="A10"/>
      <c r="B10"/>
      <c r="C10"/>
      <c r="D10"/>
      <c r="K10" s="11"/>
    </row>
    <row r="11" spans="1:23" s="8" customFormat="1">
      <c r="K11" s="11"/>
    </row>
    <row r="12" spans="1:23" s="8" customFormat="1">
      <c r="K12" s="11"/>
    </row>
    <row r="13" spans="1:23" s="8" customFormat="1">
      <c r="K13" s="11"/>
    </row>
    <row r="14" spans="1:23" s="8" customFormat="1">
      <c r="K14" s="11"/>
    </row>
    <row r="15" spans="1:23" s="8" customFormat="1">
      <c r="K15" s="11"/>
    </row>
    <row r="16" spans="1:23" s="8" customFormat="1">
      <c r="K16" s="11"/>
    </row>
    <row r="17" spans="11:11" s="8" customFormat="1">
      <c r="K17" s="11"/>
    </row>
    <row r="18" spans="11:11" s="8" customFormat="1">
      <c r="K18" s="11"/>
    </row>
    <row r="19" spans="11:11" s="8" customFormat="1">
      <c r="K19" s="11"/>
    </row>
    <row r="20" spans="11:11" s="8" customFormat="1">
      <c r="K20" s="11"/>
    </row>
    <row r="21" spans="11:11" s="8" customFormat="1">
      <c r="K21" s="11"/>
    </row>
    <row r="22" spans="11:11" s="8" customFormat="1">
      <c r="K22" s="11"/>
    </row>
    <row r="23" spans="11:11" s="8" customFormat="1">
      <c r="K23" s="11"/>
    </row>
    <row r="24" spans="11:11" s="8" customFormat="1">
      <c r="K24" s="11"/>
    </row>
    <row r="25" spans="11:11" s="8" customFormat="1">
      <c r="K25" s="11"/>
    </row>
    <row r="26" spans="11:11" s="8" customFormat="1">
      <c r="K26" s="11"/>
    </row>
    <row r="27" spans="11:11" s="8" customFormat="1">
      <c r="K27" s="11"/>
    </row>
    <row r="28" spans="11:11" s="8" customFormat="1">
      <c r="K28" s="11"/>
    </row>
    <row r="29" spans="11:11" s="8" customFormat="1">
      <c r="K29" s="11"/>
    </row>
    <row r="30" spans="11:11" s="8" customFormat="1">
      <c r="K30" s="11"/>
    </row>
  </sheetData>
  <customSheetViews>
    <customSheetView guid="{E07207AA-C3D8-48F1-8681-AD90196968B3}" fitToPage="1" state="hidden">
      <selection activeCell="F32" sqref="F32"/>
      <pageMargins left="0.25" right="0.25" top="0.75" bottom="0.75" header="0.3" footer="0.3"/>
      <pageSetup paperSize="9" scale="71" orientation="landscape" r:id="rId1"/>
    </customSheetView>
  </customSheetViews>
  <pageMargins left="0.25" right="0.25" top="0.75" bottom="0.75" header="0.3" footer="0.3"/>
  <pageSetup paperSize="9" scale="45" orientation="landscape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2D6F9D5BB5A63140867F6B240EB3499B" ma:contentTypeVersion="0" ma:contentTypeDescription="Створення нового документа." ma:contentTypeScope="" ma:versionID="e1d3ee8d3f75d516a6721a465b5c9786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1c0cebb24628af8e57c4c5575463c9c3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вмісту"/>
        <xsd:element ref="dc:title" minOccurs="0" maxOccurs="1" ma:index="4" ma:displayName="Заголовок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709CECA-6E2E-4C47-B9C9-38115A8214A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3CBD2067-7B93-48C0-B7A8-E379A43AE30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D117AC5-4E06-4A62-B353-27874A4680CB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2</vt:i4>
      </vt:variant>
      <vt:variant>
        <vt:lpstr>Іменовані діапазони</vt:lpstr>
      </vt:variant>
      <vt:variant>
        <vt:i4>6</vt:i4>
      </vt:variant>
    </vt:vector>
  </HeadingPairs>
  <TitlesOfParts>
    <vt:vector size="8" baseType="lpstr">
      <vt:lpstr>Калькулятор</vt:lpstr>
      <vt:lpstr>Продукти</vt:lpstr>
      <vt:lpstr>Maxamount</vt:lpstr>
      <vt:lpstr>Макс_срок</vt:lpstr>
      <vt:lpstr>Мін_срок</vt:lpstr>
      <vt:lpstr>Калькулятор!Область_друку</vt:lpstr>
      <vt:lpstr>Список_продуктов</vt:lpstr>
      <vt:lpstr>Срок_кредиту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Yurii.BOIKO@otpbank.com.ua</dc:creator>
  <cp:lastModifiedBy>BOIKO Yurii Sergiiovych</cp:lastModifiedBy>
  <cp:lastPrinted>2024-08-13T13:05:17Z</cp:lastPrinted>
  <dcterms:created xsi:type="dcterms:W3CDTF">1998-01-06T07:30:47Z</dcterms:created>
  <dcterms:modified xsi:type="dcterms:W3CDTF">2025-01-23T00:44:58Z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0x0101002D6F9D5BB5A63140867F6B240EB3499B</vt:lpwstr>
  </property>
</Properties>
</file>